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ie\Desktop\"/>
    </mc:Choice>
  </mc:AlternateContent>
  <xr:revisionPtr revIDLastSave="0" documentId="8_{C975A9A2-C6D0-450C-AB85-681E6D4EE61C}" xr6:coauthVersionLast="47" xr6:coauthVersionMax="47" xr10:uidLastSave="{00000000-0000-0000-0000-000000000000}"/>
  <bookViews>
    <workbookView xWindow="120" yWindow="0" windowWidth="9528" windowHeight="13656" tabRatio="696" xr2:uid="{00000000-000D-0000-FFFF-FFFF00000000}"/>
  </bookViews>
  <sheets>
    <sheet name="A&amp;L" sheetId="1" r:id="rId1"/>
    <sheet name="Servicing" sheetId="2" r:id="rId2"/>
    <sheet name="HEM" sheetId="6" r:id="rId3"/>
    <sheet name="Tax" sheetId="5" r:id="rId4"/>
  </sheets>
  <definedNames>
    <definedName name="_xlnm.Print_Area" localSheetId="0">'A&amp;L'!$B$1:$J$38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2" l="1"/>
  <c r="M21" i="1" l="1"/>
  <c r="M20" i="1"/>
  <c r="C42" i="2"/>
  <c r="C43" i="2" s="1"/>
  <c r="M5" i="1"/>
  <c r="M2" i="1"/>
  <c r="I28" i="2"/>
  <c r="F30" i="2" l="1"/>
  <c r="C48" i="2" l="1"/>
  <c r="I21" i="2"/>
  <c r="I19" i="2"/>
  <c r="F5" i="2"/>
  <c r="I6" i="2"/>
  <c r="C57" i="2"/>
  <c r="C58" i="2" s="1"/>
  <c r="M32" i="1" s="1"/>
  <c r="C55" i="2"/>
  <c r="C56" i="2" s="1"/>
  <c r="M29" i="1" s="1"/>
  <c r="C53" i="2"/>
  <c r="C54" i="2" s="1"/>
  <c r="C40" i="2"/>
  <c r="C41" i="2" s="1"/>
  <c r="C38" i="2"/>
  <c r="C39" i="2" s="1"/>
  <c r="M11" i="1" s="1"/>
  <c r="C10" i="2"/>
  <c r="C28" i="2"/>
  <c r="C37" i="2" s="1"/>
  <c r="C27" i="2"/>
  <c r="C25" i="2"/>
  <c r="C36" i="2" s="1"/>
  <c r="C24" i="2"/>
  <c r="C22" i="2"/>
  <c r="C35" i="2" s="1"/>
  <c r="M10" i="1" s="1"/>
  <c r="C21" i="2"/>
  <c r="C20" i="2"/>
  <c r="C18" i="2"/>
  <c r="C17" i="2"/>
  <c r="D7" i="1" s="1"/>
  <c r="C49" i="2"/>
  <c r="C50" i="2"/>
  <c r="C3" i="2"/>
  <c r="C4" i="2"/>
  <c r="M30" i="1" l="1"/>
  <c r="M28" i="1"/>
  <c r="M31" i="1" s="1"/>
  <c r="C59" i="2"/>
  <c r="C30" i="2"/>
  <c r="C7" i="1" s="1"/>
  <c r="D6" i="1"/>
  <c r="C16" i="1"/>
  <c r="C34" i="2"/>
  <c r="M9" i="1" s="1"/>
  <c r="I27" i="2"/>
  <c r="C19" i="2"/>
  <c r="C29" i="2"/>
  <c r="C26" i="2"/>
  <c r="C23" i="2"/>
  <c r="C5" i="2"/>
  <c r="M24" i="1" s="1"/>
  <c r="M3" i="1" s="1"/>
  <c r="C44" i="2" l="1"/>
  <c r="I29" i="2"/>
  <c r="I30" i="2" s="1"/>
  <c r="C31" i="2"/>
  <c r="M19" i="1" s="1"/>
  <c r="D5" i="1" l="1"/>
  <c r="C13" i="1"/>
  <c r="C12" i="1"/>
  <c r="C7" i="2"/>
  <c r="C6" i="2"/>
  <c r="C47" i="2" s="1" a="1"/>
  <c r="C47" i="2" s="1"/>
  <c r="M12" i="1" s="1"/>
  <c r="C8" i="2" l="1"/>
  <c r="M25" i="1" s="1"/>
  <c r="M6" i="1" s="1"/>
  <c r="M13" i="1"/>
  <c r="M16" i="1" l="1"/>
  <c r="C12" i="2"/>
  <c r="C9" i="2"/>
  <c r="C14" i="2" s="1"/>
  <c r="I18" i="2"/>
  <c r="I4" i="2"/>
  <c r="I13" i="2" s="1"/>
  <c r="I9" i="2" l="1"/>
  <c r="I32" i="2"/>
  <c r="C11" i="2"/>
  <c r="I8" i="2" s="1"/>
  <c r="I22" i="2"/>
  <c r="I31" i="2" l="1"/>
  <c r="I33" i="2" s="1"/>
  <c r="C14" i="1"/>
  <c r="C13" i="2"/>
  <c r="I23" i="2"/>
  <c r="I24" i="2" s="1"/>
  <c r="I14" i="2"/>
  <c r="I7" i="2" s="1"/>
  <c r="C6" i="1" l="1"/>
  <c r="E6" i="1" s="1"/>
  <c r="C15" i="1"/>
  <c r="I34" i="2"/>
  <c r="I35" i="2" s="1"/>
  <c r="E7" i="1" s="1"/>
  <c r="I10" i="2"/>
  <c r="I11" i="2" l="1"/>
  <c r="I12" i="2" s="1"/>
  <c r="C5" i="1" l="1"/>
  <c r="E5" i="1" s="1"/>
  <c r="C11" i="1"/>
  <c r="C10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<sst xmlns="http://schemas.openxmlformats.org/spreadsheetml/2006/main" count="314" uniqueCount="227">
  <si>
    <t>Assets &amp; Liabilities</t>
  </si>
  <si>
    <t>Personal Details</t>
  </si>
  <si>
    <t>Qualification</t>
  </si>
  <si>
    <t>Expenses &amp; Regular Commitments</t>
  </si>
  <si>
    <t>TAX (AU resident, simplified 2025–26 brackets)</t>
  </si>
  <si>
    <t>Bracket from</t>
  </si>
  <si>
    <t>Bracket to</t>
  </si>
  <si>
    <t>Base tax</t>
  </si>
  <si>
    <t>Marginal rate</t>
  </si>
  <si>
    <t>Offset</t>
  </si>
  <si>
    <t>Medicare levy rate</t>
  </si>
  <si>
    <t>Household Type</t>
  </si>
  <si>
    <t>Income Range (up to)</t>
  </si>
  <si>
    <t>HEM Monthly</t>
  </si>
  <si>
    <t>Couple</t>
  </si>
  <si>
    <t>Single</t>
  </si>
  <si>
    <t>Target NSR</t>
  </si>
  <si>
    <t>Equity</t>
  </si>
  <si>
    <t>Property</t>
  </si>
  <si>
    <t>Servicing</t>
  </si>
  <si>
    <t>Effective tax rate</t>
  </si>
  <si>
    <t>SMSF</t>
  </si>
  <si>
    <t>AUSTRALIAN MORTGAGE CALCULATOR</t>
  </si>
  <si>
    <t>Borrowing Capacity</t>
  </si>
  <si>
    <t>Equity BC</t>
  </si>
  <si>
    <t>Equity BC - 50% Savings</t>
  </si>
  <si>
    <t>BC - 50% Savings</t>
  </si>
  <si>
    <t>Debt to Income</t>
  </si>
  <si>
    <t>SMSF Servicing BC</t>
  </si>
  <si>
    <t>SMSF Equity BC</t>
  </si>
  <si>
    <t>Refi Outcome</t>
  </si>
  <si>
    <t>Direct Purchase</t>
  </si>
  <si>
    <t>SMSF Purchase</t>
  </si>
  <si>
    <t>Number of Dependents</t>
  </si>
  <si>
    <t>Base Salary</t>
  </si>
  <si>
    <t>Overtime, Commission, Bonus</t>
  </si>
  <si>
    <t>OT, Commission, Bonus</t>
  </si>
  <si>
    <t>Person 2</t>
  </si>
  <si>
    <t>Super Balance</t>
  </si>
  <si>
    <t>Marital Status</t>
  </si>
  <si>
    <t>Childcare (monthly)</t>
  </si>
  <si>
    <t>Child Support (monthly)</t>
  </si>
  <si>
    <t>Private School Fees (monthly)</t>
  </si>
  <si>
    <t>Health Insurance (monthly)</t>
  </si>
  <si>
    <t>Home Value</t>
  </si>
  <si>
    <t>Home Mortgage Interest Rate</t>
  </si>
  <si>
    <t>Home Rent (weekly)</t>
  </si>
  <si>
    <t>Total Savings</t>
  </si>
  <si>
    <t>Personal/Vehicle Loans</t>
  </si>
  <si>
    <t>Total Credit Card Limits</t>
  </si>
  <si>
    <t>IP #1 Value</t>
  </si>
  <si>
    <t>IP #1 Loan</t>
  </si>
  <si>
    <t>IP #1 Rent</t>
  </si>
  <si>
    <t>IP #2 Value</t>
  </si>
  <si>
    <t>IP #2 Loan</t>
  </si>
  <si>
    <t>IP #2 Rent</t>
  </si>
  <si>
    <t>IP #3 Value</t>
  </si>
  <si>
    <t>IP #3 Loan</t>
  </si>
  <si>
    <t>IP #3 Rent</t>
  </si>
  <si>
    <t>Home Loan Balance</t>
  </si>
  <si>
    <t>Home Interest Rate</t>
  </si>
  <si>
    <t>Funds for Renovations</t>
  </si>
  <si>
    <t>Person 1</t>
  </si>
  <si>
    <t>CRM Fields</t>
  </si>
  <si>
    <t>IP BC Personal</t>
  </si>
  <si>
    <t>Usable Equity</t>
  </si>
  <si>
    <t>IP BC Super</t>
  </si>
  <si>
    <t>Available SMSF Equity</t>
  </si>
  <si>
    <t>IP Outcome</t>
  </si>
  <si>
    <t>SMSF Outcome</t>
  </si>
  <si>
    <t>P1 - Income (Base Salary)</t>
  </si>
  <si>
    <t>P1 - Overtime, Commission, Bonus</t>
  </si>
  <si>
    <t>P1 - Super Balance</t>
  </si>
  <si>
    <t>P2 - Income (Base Salary)</t>
  </si>
  <si>
    <t>P2 - Overtime, Commission, Bonus</t>
  </si>
  <si>
    <t>P2 - Super Balance</t>
  </si>
  <si>
    <t>Childcare - Monthly</t>
  </si>
  <si>
    <t>Child Support/Maintenance - Monthly</t>
  </si>
  <si>
    <t>Private School Fees - Monthly</t>
  </si>
  <si>
    <t>Health Insurance - Monthly</t>
  </si>
  <si>
    <t>Mortgage</t>
  </si>
  <si>
    <t>Rent (Weekly)</t>
  </si>
  <si>
    <t>Renovations</t>
  </si>
  <si>
    <t>Total Credit Card Limit</t>
  </si>
  <si>
    <t>Property 1 Value</t>
  </si>
  <si>
    <t>Property 1 Mortgage</t>
  </si>
  <si>
    <t>Property 1 Rent</t>
  </si>
  <si>
    <t>Property 2 Value</t>
  </si>
  <si>
    <t>Property 2 Mortgage</t>
  </si>
  <si>
    <t>Property 2 Rent</t>
  </si>
  <si>
    <t>Property 3 Value</t>
  </si>
  <si>
    <t>Property 3 Mortgage</t>
  </si>
  <si>
    <t>Property 3 Rent</t>
  </si>
  <si>
    <t>Future Assessed Income</t>
  </si>
  <si>
    <t>Net Income</t>
  </si>
  <si>
    <t>P1 - Net Income</t>
  </si>
  <si>
    <t>P2 - Future Assessed Income</t>
  </si>
  <si>
    <t>P2 - Net Income</t>
  </si>
  <si>
    <t>EXPENSES</t>
  </si>
  <si>
    <t>Home Loan &amp; Other Loans (Annual)</t>
  </si>
  <si>
    <t>Investment Loans (Annual)</t>
  </si>
  <si>
    <t>Other Living Costs</t>
  </si>
  <si>
    <t>HEM</t>
  </si>
  <si>
    <t>Assessed Commitments</t>
  </si>
  <si>
    <t>SERVICING</t>
  </si>
  <si>
    <t>Servicing Income</t>
  </si>
  <si>
    <t>Net Usable Equity, LVR, &amp; Total Debt</t>
  </si>
  <si>
    <t>Net (Usable) Equity</t>
  </si>
  <si>
    <t>Total LVR (inc CC &amp; Personal Loans)</t>
  </si>
  <si>
    <t>Total Debt (inc CC &amp; Personal Loans)</t>
  </si>
  <si>
    <t>P1 - Servicing Tax Payable</t>
  </si>
  <si>
    <t>P2 - Tax Payables</t>
  </si>
  <si>
    <t>P1 - Assessed SGC</t>
  </si>
  <si>
    <t>P2 Assessed SGC</t>
  </si>
  <si>
    <t>SMSF IP - Assessed Rent</t>
  </si>
  <si>
    <t>Monthly SMSF BC Servicing Income</t>
  </si>
  <si>
    <t>Person 1 Tax Payable</t>
  </si>
  <si>
    <t>Person 2 Tax Payable</t>
  </si>
  <si>
    <t>Person 1 Assessed SGC</t>
  </si>
  <si>
    <t>Person 2 Assessed SGC</t>
  </si>
  <si>
    <t>SMSF IP Assessed Rent</t>
  </si>
  <si>
    <t>Tax</t>
  </si>
  <si>
    <t>P1 - Future Assessed Income</t>
  </si>
  <si>
    <t xml:space="preserve">Personal/Vehicle Loans </t>
  </si>
  <si>
    <t>Existing Commitments Monthly</t>
  </si>
  <si>
    <t>Monthly Surplus</t>
  </si>
  <si>
    <t>Applicant 1 SMSF Contributions</t>
  </si>
  <si>
    <t>Applicant 2 SMSF Contributions</t>
  </si>
  <si>
    <t>SMSF Deposit Available</t>
  </si>
  <si>
    <t>SMSF Net Cashflow Annual</t>
  </si>
  <si>
    <t>Purchase Price</t>
  </si>
  <si>
    <t>Total Funds Required</t>
  </si>
  <si>
    <t>Property Expenses Monthly</t>
  </si>
  <si>
    <t>Expected Rent Monthly</t>
  </si>
  <si>
    <t>Negative Gearing Benefit</t>
  </si>
  <si>
    <t>Net Income Monthly</t>
  </si>
  <si>
    <t>Total Expenses</t>
  </si>
  <si>
    <t>NRS Applied</t>
  </si>
  <si>
    <t>Maximum Loan Amount</t>
  </si>
  <si>
    <t>Interest Expense Monthly</t>
  </si>
  <si>
    <t>Rental Loss Monthly</t>
  </si>
  <si>
    <t>Fund Expenses Monthly</t>
  </si>
  <si>
    <t>Total Expenses Monthly</t>
  </si>
  <si>
    <t>SMSF Surplus Monthly</t>
  </si>
  <si>
    <t>Applicant 1 Gross Monthly Base Income</t>
  </si>
  <si>
    <t>Applicant 1 Gross Monthly Shaded Income</t>
  </si>
  <si>
    <t>Net Monthly Total Income</t>
  </si>
  <si>
    <t>Applicant 2 Gross Monthly Base Income</t>
  </si>
  <si>
    <t>Applicant 1 Net Monthly Income</t>
  </si>
  <si>
    <t>Applicant 2 Net Monthly Income</t>
  </si>
  <si>
    <t>Applicant 2 Gross Monthly Shaded Income</t>
  </si>
  <si>
    <t xml:space="preserve">Dependents </t>
  </si>
  <si>
    <t>Outcome</t>
  </si>
  <si>
    <t>Dependents</t>
  </si>
  <si>
    <t>ReFi Variables</t>
  </si>
  <si>
    <t>Interest Rate cut of 80% LVR</t>
  </si>
  <si>
    <t>Interest Rate cut of 85% LVR</t>
  </si>
  <si>
    <t>Minimum Debt Level</t>
  </si>
  <si>
    <t>Home Mortgage Balance</t>
  </si>
  <si>
    <t>Savings Value</t>
  </si>
  <si>
    <t>IP 1 Value</t>
  </si>
  <si>
    <t>IP 1 Mortgage Balance</t>
  </si>
  <si>
    <t>IP 2 Value</t>
  </si>
  <si>
    <t>IP 2 Mortgage Balance</t>
  </si>
  <si>
    <t>IP 3 Value</t>
  </si>
  <si>
    <t>IP 3 Mortgage Balance</t>
  </si>
  <si>
    <t>Current Rental Income</t>
  </si>
  <si>
    <t>Home Available Equity at 80% LVR</t>
  </si>
  <si>
    <t>IP 1 Available Equity at 80% LVR</t>
  </si>
  <si>
    <t>IP 2 Available Equity at 80% LVR</t>
  </si>
  <si>
    <t>IP 3 Available Equity at 80% LVR</t>
  </si>
  <si>
    <t>OO Interest rate</t>
  </si>
  <si>
    <t>INV Interest rate</t>
  </si>
  <si>
    <t>Loan Interest rate</t>
  </si>
  <si>
    <t>Home Loan Repayment</t>
  </si>
  <si>
    <t>IP 1 Repayment</t>
  </si>
  <si>
    <t>IP 2 Repayment</t>
  </si>
  <si>
    <t>IP 3 Repayment</t>
  </si>
  <si>
    <t>Credit Card Repayment</t>
  </si>
  <si>
    <t>Total Monthly Assessed Income</t>
  </si>
  <si>
    <t>Credit Card Interest Rate</t>
  </si>
  <si>
    <t>Mortgage Loan Term</t>
  </si>
  <si>
    <t>Personal Loan Term</t>
  </si>
  <si>
    <t>Personal Loan Balance</t>
  </si>
  <si>
    <t>Personal Loan Repayment</t>
  </si>
  <si>
    <t>Credit Card Limit</t>
  </si>
  <si>
    <t>Total Monthly Commitments</t>
  </si>
  <si>
    <t>Applicant 1 Annual Income</t>
  </si>
  <si>
    <t>Applicant 2 Annual Income</t>
  </si>
  <si>
    <t>SMSF Balance</t>
  </si>
  <si>
    <t>Calculations - Income - DO NOT EDIT</t>
  </si>
  <si>
    <t>Calculations - Assets - DO NOT EDIT</t>
  </si>
  <si>
    <t>Calculations - Liabilities - DO NOT EDIT</t>
  </si>
  <si>
    <t>Calculations - HEM - DO NOT EDIT</t>
  </si>
  <si>
    <t>Calculations - SMSF - DO NOT EDIT</t>
  </si>
  <si>
    <t>Assumptions - Direct - CAN EDIT</t>
  </si>
  <si>
    <t>Assumptions - SMSF - CAN EDIT</t>
  </si>
  <si>
    <t>Scenario - Direct - DO NOT EDIT</t>
  </si>
  <si>
    <t>Scenario - SMSF - DO NOT EDIT</t>
  </si>
  <si>
    <t>Additional Expenses</t>
  </si>
  <si>
    <t>Refinance Amount</t>
  </si>
  <si>
    <t>Cash Out Required</t>
  </si>
  <si>
    <t>Scenario - Refi - DO NOT EDIT</t>
  </si>
  <si>
    <t>Loan Required</t>
  </si>
  <si>
    <t>Proposed Repayment</t>
  </si>
  <si>
    <t>Assumptions - REFI - CAN EDIT</t>
  </si>
  <si>
    <t>Total Available Equity</t>
  </si>
  <si>
    <t>Funds Required for Renovations</t>
  </si>
  <si>
    <t>Funds Required for Renovations Repayment</t>
  </si>
  <si>
    <t>Variable Income Shading</t>
  </si>
  <si>
    <t>Rent Shading</t>
  </si>
  <si>
    <t>New Loan Term (Years)</t>
  </si>
  <si>
    <t>Assessment Rate Personal</t>
  </si>
  <si>
    <t>Assessment Floor Rate</t>
  </si>
  <si>
    <t>Assessment Rate Buffer</t>
  </si>
  <si>
    <t>Loan Term</t>
  </si>
  <si>
    <t>SMSF Assessment Rate Override</t>
  </si>
  <si>
    <t>SMSF Assessment Floor Rate</t>
  </si>
  <si>
    <t>SMSF Assessment Buffer</t>
  </si>
  <si>
    <t>SMSF Fund Expenses Default</t>
  </si>
  <si>
    <t>SMSF Net Yield Default</t>
  </si>
  <si>
    <t>SMSF Rent Shading</t>
  </si>
  <si>
    <t>SMSF Max LVR</t>
  </si>
  <si>
    <t>Proposed Purchase Price</t>
  </si>
  <si>
    <t>Total LVR</t>
  </si>
  <si>
    <t>Interest Rate Cut Off 80LVR</t>
  </si>
  <si>
    <t>Interest Rate Cut Off 85LVR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</si>
</sst>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;[Red]\-&quot;$&quot;#,##0"/>
    <numFmt numFmtId="164" formatCode="&quot;$&quot;#,##0"/>
    <numFmt numFmtId="165" formatCode="\$#,##0"/>
    <numFmt numFmtId="166" formatCode="&quot;$&quot;#,##0.00"/>
    <numFmt numFmtId="167" formatCode="0.0%"/>
    <numFmt numFmtId="168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336699"/>
      <name val="Calibri"/>
      <family val="2"/>
    </font>
    <font>
      <b/>
      <sz val="11"/>
      <color rgb="FF336699"/>
      <name val="Calibri"/>
      <family val="2"/>
    </font>
    <font>
      <b/>
      <sz val="11"/>
      <name val="Arial"/>
      <family val="2"/>
    </font>
    <font>
      <b/>
      <sz val="11"/>
      <color rgb="FF336699"/>
      <name val="Arial"/>
      <family val="2"/>
    </font>
    <font>
      <b/>
      <sz val="18"/>
      <color rgb="FF336699"/>
      <name val="Arial"/>
      <family val="2"/>
    </font>
    <font>
      <b/>
      <sz val="20"/>
      <color rgb="FF336699"/>
      <name val="Arial"/>
      <family val="2"/>
    </font>
    <font>
      <sz val="11"/>
      <name val="Arial"/>
      <family val="2"/>
    </font>
    <font>
      <b/>
      <sz val="9"/>
      <color theme="9" tint="-0.249977111117893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7"/>
      <color rgb="FF336699"/>
      <name val="Arial"/>
      <family val="2"/>
    </font>
    <font>
      <b/>
      <sz val="9"/>
      <color rgb="FF33669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b/>
      <sz val="9"/>
      <color rgb="FF336699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</patternFill>
    </fill>
    <fill>
      <patternFill patternType="solid">
        <fgColor theme="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B717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88">
    <border>
      <left/>
      <right/>
      <top/>
      <bottom/>
      <diagonal/>
    </border>
    <border>
      <left/>
      <right/>
      <top style="thick">
        <color rgb="FF336699"/>
      </top>
      <bottom/>
      <diagonal/>
    </border>
    <border>
      <left/>
      <right style="thick">
        <color rgb="FF336699"/>
      </right>
      <top style="thick">
        <color rgb="FF336699"/>
      </top>
      <bottom/>
      <diagonal/>
    </border>
    <border>
      <left style="thick">
        <color rgb="FF336699"/>
      </left>
      <right/>
      <top/>
      <bottom/>
      <diagonal/>
    </border>
    <border>
      <left/>
      <right style="thick">
        <color rgb="FF336699"/>
      </right>
      <top/>
      <bottom/>
      <diagonal/>
    </border>
    <border>
      <left style="thick">
        <color rgb="FF336699"/>
      </left>
      <right/>
      <top/>
      <bottom style="thick">
        <color rgb="FF336699"/>
      </bottom>
      <diagonal/>
    </border>
    <border>
      <left/>
      <right/>
      <top/>
      <bottom style="thick">
        <color rgb="FF336699"/>
      </bottom>
      <diagonal/>
    </border>
    <border>
      <left/>
      <right style="thick">
        <color rgb="FF336699"/>
      </right>
      <top/>
      <bottom style="thick">
        <color rgb="FF336699"/>
      </bottom>
      <diagonal/>
    </border>
    <border>
      <left style="thick">
        <color rgb="FF336699"/>
      </left>
      <right style="thin">
        <color rgb="FF336699"/>
      </right>
      <top style="thick">
        <color rgb="FF336699"/>
      </top>
      <bottom style="thin">
        <color rgb="FF336699"/>
      </bottom>
      <diagonal/>
    </border>
    <border>
      <left style="thin">
        <color rgb="FF336699"/>
      </left>
      <right style="thin">
        <color rgb="FF336699"/>
      </right>
      <top style="thick">
        <color rgb="FF336699"/>
      </top>
      <bottom style="thin">
        <color rgb="FF336699"/>
      </bottom>
      <diagonal/>
    </border>
    <border>
      <left style="thin">
        <color rgb="FF336699"/>
      </left>
      <right style="thick">
        <color rgb="FF336699"/>
      </right>
      <top style="thick">
        <color rgb="FF336699"/>
      </top>
      <bottom style="thin">
        <color rgb="FF336699"/>
      </bottom>
      <diagonal/>
    </border>
    <border>
      <left style="thick">
        <color rgb="FF336699"/>
      </left>
      <right style="thin">
        <color rgb="FF336699"/>
      </right>
      <top style="thin">
        <color rgb="FF336699"/>
      </top>
      <bottom style="thin">
        <color rgb="FF336699"/>
      </bottom>
      <diagonal/>
    </border>
    <border>
      <left style="thin">
        <color rgb="FF336699"/>
      </left>
      <right style="thin">
        <color rgb="FF336699"/>
      </right>
      <top style="thin">
        <color rgb="FF336699"/>
      </top>
      <bottom style="thin">
        <color rgb="FF336699"/>
      </bottom>
      <diagonal/>
    </border>
    <border>
      <left style="thin">
        <color rgb="FF336699"/>
      </left>
      <right style="thick">
        <color rgb="FF336699"/>
      </right>
      <top style="thin">
        <color rgb="FF336699"/>
      </top>
      <bottom style="thin">
        <color rgb="FF336699"/>
      </bottom>
      <diagonal/>
    </border>
    <border>
      <left style="thick">
        <color rgb="FF336699"/>
      </left>
      <right style="thin">
        <color rgb="FF336699"/>
      </right>
      <top style="thin">
        <color rgb="FF336699"/>
      </top>
      <bottom style="thick">
        <color rgb="FF336699"/>
      </bottom>
      <diagonal/>
    </border>
    <border>
      <left style="thin">
        <color rgb="FF336699"/>
      </left>
      <right style="thin">
        <color rgb="FF336699"/>
      </right>
      <top style="thin">
        <color rgb="FF336699"/>
      </top>
      <bottom style="thick">
        <color rgb="FF336699"/>
      </bottom>
      <diagonal/>
    </border>
    <border>
      <left style="thin">
        <color rgb="FF336699"/>
      </left>
      <right style="thick">
        <color rgb="FF336699"/>
      </right>
      <top style="thin">
        <color rgb="FF336699"/>
      </top>
      <bottom style="thick">
        <color rgb="FF336699"/>
      </bottom>
      <diagonal/>
    </border>
    <border>
      <left/>
      <right style="thick">
        <color rgb="FF336699"/>
      </right>
      <top style="thick">
        <color rgb="FF336699"/>
      </top>
      <bottom style="thin">
        <color rgb="FF336699"/>
      </bottom>
      <diagonal/>
    </border>
    <border>
      <left/>
      <right style="thick">
        <color rgb="FF336699"/>
      </right>
      <top style="thin">
        <color rgb="FF336699"/>
      </top>
      <bottom style="thick">
        <color rgb="FF336699"/>
      </bottom>
      <diagonal/>
    </border>
    <border>
      <left/>
      <right style="thin">
        <color rgb="FF336699"/>
      </right>
      <top style="thin">
        <color rgb="FF336699"/>
      </top>
      <bottom style="thin">
        <color rgb="FF336699"/>
      </bottom>
      <diagonal/>
    </border>
    <border>
      <left/>
      <right style="thin">
        <color rgb="FF336699"/>
      </right>
      <top style="thin">
        <color rgb="FF336699"/>
      </top>
      <bottom/>
      <diagonal/>
    </border>
    <border>
      <left style="thin">
        <color rgb="FF336699"/>
      </left>
      <right style="thin">
        <color rgb="FF336699"/>
      </right>
      <top style="thin">
        <color rgb="FF336699"/>
      </top>
      <bottom/>
      <diagonal/>
    </border>
    <border>
      <left/>
      <right/>
      <top/>
      <bottom/>
      <diagonal/>
    </border>
    <border>
      <left style="thin">
        <color rgb="FF336699"/>
      </left>
      <right style="thin">
        <color rgb="FF336699"/>
      </right>
      <top/>
      <bottom style="thin">
        <color rgb="FF336699"/>
      </bottom>
      <diagonal/>
    </border>
    <border>
      <left style="thin">
        <color rgb="FF336699"/>
      </left>
      <right style="thick">
        <color rgb="FF336699"/>
      </right>
      <top style="thin">
        <color rgb="FF336699"/>
      </top>
      <bottom/>
      <diagonal/>
    </border>
    <border>
      <left style="thick">
        <color rgb="FF336699"/>
      </left>
      <right style="thin">
        <color rgb="FF336699"/>
      </right>
      <top style="thin">
        <color rgb="FF336699"/>
      </top>
      <bottom/>
      <diagonal/>
    </border>
    <border>
      <left style="thick">
        <color rgb="FF336699"/>
      </left>
      <right/>
      <top style="thick">
        <color rgb="FF336699"/>
      </top>
      <bottom style="thick">
        <color rgb="FF336699"/>
      </bottom>
      <diagonal/>
    </border>
    <border>
      <left/>
      <right style="thick">
        <color rgb="FF336699"/>
      </right>
      <top style="thick">
        <color rgb="FF336699"/>
      </top>
      <bottom style="thick">
        <color rgb="FF336699"/>
      </bottom>
      <diagonal/>
    </border>
    <border>
      <left/>
      <right/>
      <top style="thick">
        <color rgb="FF336699"/>
      </top>
      <bottom style="thick">
        <color rgb="FF336699"/>
      </bottom>
      <diagonal/>
    </border>
    <border>
      <left style="thick">
        <color rgb="FF336699"/>
      </left>
      <right/>
      <top style="thick">
        <color rgb="FF336699"/>
      </top>
      <bottom/>
      <diagonal/>
    </border>
    <border>
      <left style="thin">
        <color rgb="FF336699"/>
      </left>
      <right style="thick">
        <color rgb="FF336699"/>
      </right>
      <top style="thick">
        <color rgb="FF336699"/>
      </top>
      <bottom style="thick">
        <color rgb="FF336699"/>
      </bottom>
      <diagonal/>
    </border>
    <border>
      <left style="thin">
        <color rgb="FFBFBFBF"/>
      </left>
      <right style="thin">
        <color rgb="FFBFBFBF"/>
      </right>
      <top style="thick">
        <color rgb="FF336699"/>
      </top>
      <bottom style="thick">
        <color rgb="FF336699"/>
      </bottom>
      <diagonal/>
    </border>
    <border>
      <left style="thin">
        <color rgb="FFBFBFBF"/>
      </left>
      <right style="thick">
        <color rgb="FF336699"/>
      </right>
      <top style="thin">
        <color rgb="FFBFBFBF"/>
      </top>
      <bottom style="thick">
        <color rgb="FF336699"/>
      </bottom>
      <diagonal/>
    </border>
    <border>
      <left/>
      <right style="thin">
        <color rgb="FF336699"/>
      </right>
      <top/>
      <bottom/>
      <diagonal/>
    </border>
    <border>
      <left style="thin">
        <color rgb="FF336699"/>
      </left>
      <right style="thin">
        <color rgb="FF336699"/>
      </right>
      <top/>
      <bottom/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/>
      <top/>
      <bottom/>
      <diagonal/>
    </border>
    <border>
      <left style="thick">
        <color rgb="FF336699"/>
      </left>
      <right style="thin">
        <color rgb="FF336699"/>
      </right>
      <top/>
      <bottom/>
      <diagonal/>
    </border>
    <border>
      <left style="thick">
        <color rgb="FF336699"/>
      </left>
      <right style="thin">
        <color rgb="FF336699"/>
      </right>
      <top/>
      <bottom style="thin">
        <color rgb="FF336699"/>
      </bottom>
      <diagonal/>
    </border>
    <border>
      <left style="thick">
        <color rgb="FF336699"/>
      </left>
      <right style="thin">
        <color rgb="FF336699"/>
      </right>
      <top/>
      <bottom style="thick">
        <color rgb="FF336699"/>
      </bottom>
      <diagonal/>
    </border>
    <border>
      <left style="thin">
        <color rgb="FF336699"/>
      </left>
      <right style="thick">
        <color rgb="FF336699"/>
      </right>
      <top/>
      <bottom style="thin">
        <color rgb="FF336699"/>
      </bottom>
      <diagonal/>
    </border>
    <border>
      <left style="thin">
        <color rgb="FF336699"/>
      </left>
      <right style="thick">
        <color rgb="FF336699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rgb="FF000000"/>
      </right>
      <top style="thick">
        <color indexed="64"/>
      </top>
      <bottom/>
      <diagonal/>
    </border>
    <border>
      <left style="thick">
        <color indexed="64"/>
      </left>
      <right style="thick">
        <color rgb="FF000000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rgb="FF000000"/>
      </left>
      <right style="thin">
        <color indexed="64"/>
      </right>
      <top/>
      <bottom style="thick">
        <color indexed="64"/>
      </bottom>
      <diagonal/>
    </border>
    <border>
      <left style="thick">
        <color rgb="FF000000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rgb="FF000000"/>
      </top>
      <bottom style="thin">
        <color indexed="64"/>
      </bottom>
      <diagonal/>
    </border>
    <border>
      <left/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rgb="FF000000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rgb="FF336699"/>
      </left>
      <right/>
      <top style="thick">
        <color rgb="FF336699"/>
      </top>
      <bottom style="thin">
        <color rgb="FF336699"/>
      </bottom>
      <diagonal/>
    </border>
    <border>
      <left style="thin">
        <color rgb="FF336699"/>
      </left>
      <right/>
      <top style="thin">
        <color rgb="FF336699"/>
      </top>
      <bottom style="thin">
        <color rgb="FF336699"/>
      </bottom>
      <diagonal/>
    </border>
    <border>
      <left style="thin">
        <color rgb="FF336699"/>
      </left>
      <right/>
      <top style="thin">
        <color rgb="FF336699"/>
      </top>
      <bottom style="thick">
        <color rgb="FF336699"/>
      </bottom>
      <diagonal/>
    </border>
    <border>
      <left style="thick">
        <color rgb="FF336699"/>
      </left>
      <right style="thin">
        <color rgb="FF336699"/>
      </right>
      <top style="thick">
        <color rgb="FF336699"/>
      </top>
      <bottom style="thick">
        <color rgb="FF336699"/>
      </bottom>
      <diagonal/>
    </border>
    <border>
      <left style="thin">
        <color rgb="FF336699"/>
      </left>
      <right style="thin">
        <color rgb="FF336699"/>
      </right>
      <top style="thick">
        <color rgb="FF336699"/>
      </top>
      <bottom style="thick">
        <color rgb="FF336699"/>
      </bottom>
      <diagonal/>
    </border>
    <border>
      <left/>
      <right style="thin">
        <color rgb="FFBFBFBF"/>
      </right>
      <top/>
      <bottom/>
      <diagonal/>
    </border>
    <border>
      <left style="thick">
        <color rgb="FF336699"/>
      </left>
      <right/>
      <top style="thick">
        <color rgb="FF336699"/>
      </top>
      <bottom style="thin">
        <color rgb="FF336699"/>
      </bottom>
      <diagonal/>
    </border>
    <border>
      <left style="thin">
        <color rgb="FF336699"/>
      </left>
      <right style="thick">
        <color rgb="FF336699"/>
      </right>
      <top style="thick">
        <color rgb="FF336699"/>
      </top>
      <bottom/>
      <diagonal/>
    </border>
    <border>
      <left/>
      <right style="thick">
        <color rgb="FF336699"/>
      </right>
      <top style="thin">
        <color rgb="FF336699"/>
      </top>
      <bottom/>
      <diagonal/>
    </border>
    <border>
      <left style="thick">
        <color rgb="FF336699"/>
      </left>
      <right style="thick">
        <color rgb="FF336699"/>
      </right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22"/>
  </cellStyleXfs>
  <cellXfs count="226">
    <xf numFmtId="0" fontId="0" fillId="0" borderId="0" xfId="0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22" xfId="0"/>
    <xf numFmtId="0" fontId="0" fillId="0" borderId="6" xfId="0" applyBorder="1"/>
    <xf numFmtId="0" fontId="0" fillId="0" borderId="5" xfId="0" applyBorder="1"/>
    <xf numFmtId="165" fontId="0" fillId="0" borderId="22" xfId="0" applyNumberFormat="1"/>
    <xf numFmtId="0" fontId="0" fillId="0" borderId="28" xfId="0" applyBorder="1"/>
    <xf numFmtId="0" fontId="0" fillId="0" borderId="29" xfId="0" applyBorder="1"/>
    <xf numFmtId="0" fontId="2" fillId="0" borderId="22" xfId="0" applyFont="1" applyAlignment="1">
      <alignment horizontal="center"/>
    </xf>
    <xf numFmtId="10" fontId="0" fillId="0" borderId="4" xfId="0" applyNumberFormat="1" applyBorder="1"/>
    <xf numFmtId="166" fontId="0" fillId="0" borderId="4" xfId="0" applyNumberFormat="1" applyBorder="1"/>
    <xf numFmtId="0" fontId="2" fillId="6" borderId="29" xfId="0" applyFont="1" applyFill="1" applyBorder="1" applyAlignment="1">
      <alignment horizontal="center"/>
    </xf>
    <xf numFmtId="165" fontId="0" fillId="0" borderId="4" xfId="0" applyNumberFormat="1" applyBorder="1"/>
    <xf numFmtId="2" fontId="0" fillId="0" borderId="4" xfId="0" applyNumberFormat="1" applyBorder="1"/>
    <xf numFmtId="165" fontId="0" fillId="0" borderId="2" xfId="0" applyNumberFormat="1" applyBorder="1"/>
    <xf numFmtId="165" fontId="0" fillId="0" borderId="7" xfId="0" applyNumberFormat="1" applyBorder="1"/>
    <xf numFmtId="0" fontId="2" fillId="6" borderId="2" xfId="0" applyFont="1" applyFill="1" applyBorder="1" applyAlignment="1">
      <alignment horizontal="center"/>
    </xf>
    <xf numFmtId="0" fontId="3" fillId="4" borderId="3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6" fontId="0" fillId="0" borderId="12" xfId="0" applyNumberForma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66" fontId="0" fillId="0" borderId="15" xfId="0" applyNumberForma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166" fontId="0" fillId="4" borderId="16" xfId="0" applyNumberFormat="1" applyFill="1" applyBorder="1" applyAlignment="1">
      <alignment horizontal="right" vertical="center" wrapText="1"/>
    </xf>
    <xf numFmtId="166" fontId="0" fillId="4" borderId="10" xfId="0" applyNumberFormat="1" applyFill="1" applyBorder="1" applyAlignment="1">
      <alignment horizontal="right" vertical="center" wrapText="1"/>
    </xf>
    <xf numFmtId="166" fontId="0" fillId="4" borderId="9" xfId="0" applyNumberFormat="1" applyFill="1" applyBorder="1" applyAlignment="1">
      <alignment horizontal="right" vertical="center" wrapText="1"/>
    </xf>
    <xf numFmtId="166" fontId="0" fillId="4" borderId="15" xfId="0" applyNumberFormat="1" applyFill="1" applyBorder="1" applyAlignment="1">
      <alignment horizontal="right" vertical="center" wrapText="1"/>
    </xf>
    <xf numFmtId="166" fontId="0" fillId="4" borderId="20" xfId="0" applyNumberFormat="1" applyFill="1" applyBorder="1" applyAlignment="1">
      <alignment horizontal="right" vertical="center" wrapText="1"/>
    </xf>
    <xf numFmtId="166" fontId="0" fillId="4" borderId="19" xfId="0" applyNumberFormat="1" applyFill="1" applyBorder="1" applyAlignment="1">
      <alignment horizontal="right" vertical="center" wrapText="1"/>
    </xf>
    <xf numFmtId="166" fontId="0" fillId="4" borderId="12" xfId="0" applyNumberFormat="1" applyFill="1" applyBorder="1" applyAlignment="1">
      <alignment horizontal="right" vertical="center" wrapText="1"/>
    </xf>
    <xf numFmtId="166" fontId="0" fillId="4" borderId="24" xfId="0" applyNumberFormat="1" applyFill="1" applyBorder="1" applyAlignment="1">
      <alignment horizontal="right" vertical="center" wrapText="1"/>
    </xf>
    <xf numFmtId="166" fontId="0" fillId="4" borderId="13" xfId="0" applyNumberFormat="1" applyFill="1" applyBorder="1" applyAlignment="1">
      <alignment horizontal="right" vertical="center" wrapText="1"/>
    </xf>
    <xf numFmtId="166" fontId="0" fillId="4" borderId="33" xfId="0" applyNumberFormat="1" applyFill="1" applyBorder="1" applyAlignment="1">
      <alignment horizontal="right" vertical="center" wrapText="1"/>
    </xf>
    <xf numFmtId="166" fontId="0" fillId="4" borderId="21" xfId="0" applyNumberFormat="1" applyFill="1" applyBorder="1" applyAlignment="1">
      <alignment horizontal="right" vertical="center" wrapText="1"/>
    </xf>
    <xf numFmtId="166" fontId="0" fillId="4" borderId="34" xfId="0" applyNumberFormat="1" applyFill="1" applyBorder="1" applyAlignment="1">
      <alignment horizontal="right" vertical="center" wrapText="1"/>
    </xf>
    <xf numFmtId="0" fontId="3" fillId="4" borderId="35" xfId="0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166" fontId="0" fillId="4" borderId="23" xfId="0" applyNumberFormat="1" applyFill="1" applyBorder="1" applyAlignment="1">
      <alignment horizontal="right" vertical="center" wrapText="1"/>
    </xf>
    <xf numFmtId="0" fontId="4" fillId="4" borderId="32" xfId="0" applyFont="1" applyFill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10" fontId="0" fillId="3" borderId="30" xfId="0" applyNumberFormat="1" applyFill="1" applyBorder="1" applyAlignment="1">
      <alignment horizontal="left" vertical="center" wrapText="1"/>
    </xf>
    <xf numFmtId="1" fontId="0" fillId="0" borderId="7" xfId="0" applyNumberFormat="1" applyBorder="1"/>
    <xf numFmtId="166" fontId="0" fillId="0" borderId="22" xfId="0" applyNumberFormat="1"/>
    <xf numFmtId="10" fontId="0" fillId="0" borderId="22" xfId="0" applyNumberFormat="1"/>
    <xf numFmtId="1" fontId="0" fillId="0" borderId="22" xfId="0" applyNumberFormat="1"/>
    <xf numFmtId="9" fontId="0" fillId="0" borderId="22" xfId="0" applyNumberFormat="1"/>
    <xf numFmtId="10" fontId="0" fillId="0" borderId="7" xfId="0" applyNumberFormat="1" applyBorder="1"/>
    <xf numFmtId="14" fontId="2" fillId="6" borderId="26" xfId="0" applyNumberFormat="1" applyFont="1" applyFill="1" applyBorder="1" applyAlignment="1">
      <alignment horizontal="center"/>
    </xf>
    <xf numFmtId="14" fontId="2" fillId="6" borderId="27" xfId="0" applyNumberFormat="1" applyFont="1" applyFill="1" applyBorder="1" applyAlignment="1">
      <alignment horizontal="center"/>
    </xf>
    <xf numFmtId="165" fontId="0" fillId="0" borderId="29" xfId="0" applyNumberFormat="1" applyBorder="1"/>
    <xf numFmtId="1" fontId="0" fillId="0" borderId="4" xfId="0" applyNumberFormat="1" applyBorder="1"/>
    <xf numFmtId="164" fontId="11" fillId="2" borderId="10" xfId="0" applyNumberFormat="1" applyFont="1" applyFill="1" applyBorder="1" applyAlignment="1" applyProtection="1">
      <alignment vertical="center"/>
      <protection locked="0"/>
    </xf>
    <xf numFmtId="164" fontId="11" fillId="2" borderId="13" xfId="0" applyNumberFormat="1" applyFont="1" applyFill="1" applyBorder="1" applyAlignment="1" applyProtection="1">
      <alignment vertical="center"/>
      <protection locked="0"/>
    </xf>
    <xf numFmtId="164" fontId="11" fillId="2" borderId="40" xfId="0" applyNumberFormat="1" applyFont="1" applyFill="1" applyBorder="1" applyAlignment="1" applyProtection="1">
      <alignment vertical="center"/>
      <protection locked="0"/>
    </xf>
    <xf numFmtId="164" fontId="11" fillId="2" borderId="16" xfId="0" applyNumberFormat="1" applyFont="1" applyFill="1" applyBorder="1" applyAlignment="1" applyProtection="1">
      <alignment vertical="center"/>
      <protection locked="0"/>
    </xf>
    <xf numFmtId="0" fontId="0" fillId="0" borderId="11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166" fontId="0" fillId="0" borderId="23" xfId="0" applyNumberFormat="1" applyBorder="1" applyAlignment="1">
      <alignment horizontal="center" vertical="center" wrapText="1"/>
    </xf>
    <xf numFmtId="6" fontId="17" fillId="0" borderId="7" xfId="0" applyNumberFormat="1" applyFont="1" applyBorder="1" applyAlignment="1">
      <alignment horizontal="right" wrapText="1"/>
    </xf>
    <xf numFmtId="6" fontId="17" fillId="0" borderId="10" xfId="0" applyNumberFormat="1" applyFont="1" applyBorder="1" applyAlignment="1">
      <alignment horizontal="right" wrapText="1"/>
    </xf>
    <xf numFmtId="6" fontId="17" fillId="0" borderId="13" xfId="0" applyNumberFormat="1" applyFont="1" applyBorder="1" applyAlignment="1">
      <alignment horizontal="right" wrapText="1"/>
    </xf>
    <xf numFmtId="0" fontId="18" fillId="10" borderId="80" xfId="0" applyFont="1" applyFill="1" applyBorder="1" applyAlignment="1">
      <alignment horizontal="center" vertical="center" wrapText="1"/>
    </xf>
    <xf numFmtId="0" fontId="18" fillId="10" borderId="81" xfId="0" applyFont="1" applyFill="1" applyBorder="1" applyAlignment="1">
      <alignment horizontal="center" vertical="center" wrapText="1"/>
    </xf>
    <xf numFmtId="0" fontId="18" fillId="10" borderId="27" xfId="0" applyFont="1" applyFill="1" applyBorder="1" applyAlignment="1">
      <alignment horizontal="center" vertical="center" wrapText="1"/>
    </xf>
    <xf numFmtId="0" fontId="3" fillId="4" borderId="82" xfId="0" applyFont="1" applyFill="1" applyBorder="1" applyAlignment="1">
      <alignment horizontal="center" vertical="center" wrapText="1"/>
    </xf>
    <xf numFmtId="0" fontId="3" fillId="4" borderId="83" xfId="0" applyFont="1" applyFill="1" applyBorder="1" applyAlignment="1">
      <alignment horizontal="center" vertical="center" wrapText="1"/>
    </xf>
    <xf numFmtId="10" fontId="0" fillId="0" borderId="84" xfId="0" applyNumberFormat="1" applyBorder="1" applyAlignment="1">
      <alignment horizontal="right" wrapText="1"/>
    </xf>
    <xf numFmtId="0" fontId="3" fillId="4" borderId="25" xfId="0" applyFont="1" applyFill="1" applyBorder="1" applyAlignment="1">
      <alignment horizontal="center" vertical="center" wrapText="1"/>
    </xf>
    <xf numFmtId="10" fontId="0" fillId="0" borderId="85" xfId="0" applyNumberFormat="1" applyBorder="1" applyAlignment="1">
      <alignment horizontal="right" wrapText="1"/>
    </xf>
    <xf numFmtId="6" fontId="0" fillId="0" borderId="16" xfId="0" applyNumberFormat="1" applyBorder="1" applyAlignment="1">
      <alignment horizontal="right" vertical="center" wrapText="1"/>
    </xf>
    <xf numFmtId="0" fontId="3" fillId="4" borderId="14" xfId="0" applyFont="1" applyFill="1" applyBorder="1" applyAlignment="1">
      <alignment horizontal="center" vertical="center" wrapText="1"/>
    </xf>
    <xf numFmtId="164" fontId="0" fillId="0" borderId="2" xfId="0" applyNumberFormat="1" applyBorder="1"/>
    <xf numFmtId="167" fontId="0" fillId="0" borderId="4" xfId="0" applyNumberFormat="1" applyBorder="1"/>
    <xf numFmtId="167" fontId="0" fillId="0" borderId="7" xfId="0" applyNumberFormat="1" applyBorder="1"/>
    <xf numFmtId="0" fontId="0" fillId="0" borderId="7" xfId="0" applyBorder="1" applyAlignment="1">
      <alignment horizontal="right"/>
    </xf>
    <xf numFmtId="10" fontId="0" fillId="0" borderId="2" xfId="0" applyNumberFormat="1" applyBorder="1"/>
    <xf numFmtId="10" fontId="0" fillId="0" borderId="86" xfId="0" applyNumberFormat="1" applyBorder="1"/>
    <xf numFmtId="0" fontId="0" fillId="0" borderId="86" xfId="0" applyBorder="1"/>
    <xf numFmtId="2" fontId="0" fillId="0" borderId="86" xfId="0" applyNumberFormat="1" applyBorder="1"/>
    <xf numFmtId="14" fontId="2" fillId="11" borderId="26" xfId="0" applyNumberFormat="1" applyFont="1" applyFill="1" applyBorder="1"/>
    <xf numFmtId="14" fontId="2" fillId="11" borderId="27" xfId="0" applyNumberFormat="1" applyFont="1" applyFill="1" applyBorder="1"/>
    <xf numFmtId="164" fontId="0" fillId="0" borderId="4" xfId="0" applyNumberFormat="1" applyBorder="1"/>
    <xf numFmtId="165" fontId="0" fillId="0" borderId="1" xfId="0" applyNumberFormat="1" applyBorder="1"/>
    <xf numFmtId="2" fontId="0" fillId="0" borderId="7" xfId="0" applyNumberFormat="1" applyBorder="1"/>
    <xf numFmtId="164" fontId="11" fillId="2" borderId="4" xfId="0" applyNumberFormat="1" applyFont="1" applyFill="1" applyBorder="1" applyAlignment="1" applyProtection="1">
      <alignment vertical="center"/>
      <protection locked="0"/>
    </xf>
    <xf numFmtId="164" fontId="11" fillId="2" borderId="41" xfId="0" applyNumberFormat="1" applyFont="1" applyFill="1" applyBorder="1" applyAlignment="1" applyProtection="1">
      <alignment vertical="center"/>
      <protection locked="0"/>
    </xf>
    <xf numFmtId="1" fontId="11" fillId="2" borderId="13" xfId="0" applyNumberFormat="1" applyFont="1" applyFill="1" applyBorder="1" applyAlignment="1" applyProtection="1">
      <alignment vertical="center"/>
      <protection locked="0"/>
    </xf>
    <xf numFmtId="0" fontId="11" fillId="2" borderId="16" xfId="0" applyFont="1" applyFill="1" applyBorder="1" applyAlignment="1" applyProtection="1">
      <alignment horizontal="right" vertical="center"/>
      <protection locked="0"/>
    </xf>
    <xf numFmtId="164" fontId="11" fillId="2" borderId="24" xfId="0" applyNumberFormat="1" applyFont="1" applyFill="1" applyBorder="1" applyAlignment="1" applyProtection="1">
      <alignment vertical="center"/>
      <protection locked="0"/>
    </xf>
    <xf numFmtId="10" fontId="11" fillId="2" borderId="13" xfId="0" applyNumberFormat="1" applyFont="1" applyFill="1" applyBorder="1" applyAlignment="1" applyProtection="1">
      <alignment vertical="center"/>
      <protection locked="0"/>
    </xf>
    <xf numFmtId="164" fontId="11" fillId="2" borderId="7" xfId="0" applyNumberFormat="1" applyFont="1" applyFill="1" applyBorder="1" applyAlignment="1" applyProtection="1">
      <alignment vertical="center"/>
      <protection locked="0"/>
    </xf>
    <xf numFmtId="0" fontId="1" fillId="0" borderId="22" xfId="0" applyFont="1" applyAlignment="1">
      <alignment vertical="center"/>
    </xf>
    <xf numFmtId="0" fontId="1" fillId="7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8" fillId="0" borderId="22" xfId="0" applyFont="1" applyAlignment="1">
      <alignment horizontal="center" vertical="center"/>
    </xf>
    <xf numFmtId="0" fontId="1" fillId="7" borderId="22" xfId="0" applyFont="1" applyFill="1" applyAlignment="1">
      <alignment vertical="center"/>
    </xf>
    <xf numFmtId="0" fontId="11" fillId="0" borderId="54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6" fillId="0" borderId="22" xfId="0" applyFont="1" applyAlignment="1">
      <alignment horizontal="center" vertical="center"/>
    </xf>
    <xf numFmtId="0" fontId="11" fillId="0" borderId="57" xfId="0" applyFont="1" applyBorder="1" applyAlignment="1">
      <alignment vertical="center" wrapText="1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7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22" xfId="0" applyFont="1" applyAlignment="1">
      <alignment horizontal="center" vertical="center"/>
    </xf>
    <xf numFmtId="0" fontId="10" fillId="8" borderId="0" xfId="0" applyFont="1" applyFill="1" applyBorder="1" applyAlignment="1">
      <alignment horizontal="center" vertical="center"/>
    </xf>
    <xf numFmtId="0" fontId="11" fillId="0" borderId="22" xfId="0" applyFont="1" applyAlignment="1">
      <alignment vertical="center" wrapText="1"/>
    </xf>
    <xf numFmtId="0" fontId="15" fillId="0" borderId="11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12" fillId="0" borderId="78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22" xfId="0" applyFont="1" applyAlignment="1">
      <alignment horizontal="left" vertical="center"/>
    </xf>
    <xf numFmtId="0" fontId="11" fillId="9" borderId="0" xfId="0" applyFont="1" applyFill="1" applyBorder="1" applyAlignment="1">
      <alignment vertical="center"/>
    </xf>
    <xf numFmtId="0" fontId="11" fillId="0" borderId="59" xfId="0" applyFont="1" applyBorder="1" applyAlignment="1">
      <alignment vertical="center" wrapText="1"/>
    </xf>
    <xf numFmtId="0" fontId="11" fillId="0" borderId="58" xfId="0" applyFont="1" applyBorder="1" applyAlignment="1">
      <alignment vertical="center" wrapText="1"/>
    </xf>
    <xf numFmtId="0" fontId="15" fillId="0" borderId="14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6" fillId="0" borderId="79" xfId="0" applyFont="1" applyBorder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0" fontId="16" fillId="0" borderId="22" xfId="0" applyFont="1" applyAlignment="1">
      <alignment horizontal="left" vertical="center"/>
    </xf>
    <xf numFmtId="0" fontId="11" fillId="8" borderId="0" xfId="0" applyFont="1" applyFill="1" applyBorder="1" applyAlignment="1">
      <alignment vertical="center"/>
    </xf>
    <xf numFmtId="0" fontId="15" fillId="0" borderId="22" xfId="0" applyFont="1" applyAlignment="1">
      <alignment horizontal="left" vertical="center"/>
    </xf>
    <xf numFmtId="0" fontId="5" fillId="0" borderId="22" xfId="0" applyFont="1" applyAlignment="1">
      <alignment horizontal="left" vertical="center"/>
    </xf>
    <xf numFmtId="0" fontId="9" fillId="7" borderId="22" xfId="0" applyFont="1" applyFill="1" applyAlignment="1">
      <alignment vertical="center"/>
    </xf>
    <xf numFmtId="0" fontId="9" fillId="0" borderId="22" xfId="0" applyFont="1" applyAlignment="1">
      <alignment vertical="center"/>
    </xf>
    <xf numFmtId="0" fontId="11" fillId="0" borderId="22" xfId="0" applyFont="1" applyAlignment="1">
      <alignment vertical="center"/>
    </xf>
    <xf numFmtId="0" fontId="15" fillId="0" borderId="22" xfId="0" applyFont="1" applyAlignment="1">
      <alignment vertical="center"/>
    </xf>
    <xf numFmtId="0" fontId="11" fillId="0" borderId="52" xfId="0" applyFont="1" applyBorder="1" applyAlignment="1">
      <alignment vertical="center"/>
    </xf>
    <xf numFmtId="0" fontId="11" fillId="0" borderId="64" xfId="0" applyFont="1" applyBorder="1" applyAlignment="1">
      <alignment vertical="center" wrapText="1"/>
    </xf>
    <xf numFmtId="164" fontId="12" fillId="0" borderId="17" xfId="0" applyNumberFormat="1" applyFont="1" applyBorder="1" applyAlignment="1">
      <alignment vertical="center"/>
    </xf>
    <xf numFmtId="0" fontId="11" fillId="0" borderId="65" xfId="0" applyFont="1" applyBorder="1" applyAlignment="1">
      <alignment vertical="center"/>
    </xf>
    <xf numFmtId="0" fontId="11" fillId="0" borderId="66" xfId="0" applyFont="1" applyBorder="1" applyAlignment="1">
      <alignment vertical="center" wrapText="1"/>
    </xf>
    <xf numFmtId="164" fontId="12" fillId="0" borderId="13" xfId="0" applyNumberFormat="1" applyFont="1" applyBorder="1"/>
    <xf numFmtId="164" fontId="12" fillId="0" borderId="41" xfId="0" applyNumberFormat="1" applyFont="1" applyBorder="1"/>
    <xf numFmtId="0" fontId="11" fillId="0" borderId="52" xfId="0" applyFont="1" applyBorder="1" applyAlignment="1">
      <alignment vertical="center" wrapText="1"/>
    </xf>
    <xf numFmtId="0" fontId="11" fillId="0" borderId="62" xfId="0" applyFont="1" applyBorder="1" applyAlignment="1">
      <alignment vertical="center" wrapText="1"/>
    </xf>
    <xf numFmtId="0" fontId="11" fillId="0" borderId="53" xfId="0" applyFont="1" applyBorder="1" applyAlignment="1">
      <alignment vertical="center"/>
    </xf>
    <xf numFmtId="0" fontId="11" fillId="0" borderId="48" xfId="0" applyFont="1" applyBorder="1" applyAlignment="1">
      <alignment vertical="center" wrapText="1"/>
    </xf>
    <xf numFmtId="0" fontId="11" fillId="0" borderId="11" xfId="0" applyFont="1" applyBorder="1" applyAlignment="1">
      <alignment vertical="center"/>
    </xf>
    <xf numFmtId="168" fontId="12" fillId="0" borderId="13" xfId="0" applyNumberFormat="1" applyFont="1" applyBorder="1"/>
    <xf numFmtId="0" fontId="11" fillId="0" borderId="75" xfId="0" applyFont="1" applyBorder="1" applyAlignment="1">
      <alignment vertical="center" wrapText="1"/>
    </xf>
    <xf numFmtId="164" fontId="12" fillId="0" borderId="40" xfId="0" applyNumberFormat="1" applyFont="1" applyBorder="1"/>
    <xf numFmtId="0" fontId="11" fillId="0" borderId="14" xfId="0" applyFont="1" applyBorder="1" applyAlignment="1">
      <alignment vertical="center"/>
    </xf>
    <xf numFmtId="164" fontId="12" fillId="0" borderId="18" xfId="0" applyNumberFormat="1" applyFont="1" applyBorder="1" applyAlignment="1">
      <alignment vertical="center"/>
    </xf>
    <xf numFmtId="0" fontId="11" fillId="0" borderId="44" xfId="0" applyFont="1" applyBorder="1" applyAlignment="1">
      <alignment vertical="center"/>
    </xf>
    <xf numFmtId="0" fontId="11" fillId="0" borderId="69" xfId="0" applyFont="1" applyBorder="1" applyAlignment="1">
      <alignment vertical="center" wrapText="1"/>
    </xf>
    <xf numFmtId="0" fontId="11" fillId="0" borderId="28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71" xfId="0" applyFont="1" applyBorder="1" applyAlignment="1">
      <alignment vertical="center"/>
    </xf>
    <xf numFmtId="0" fontId="11" fillId="0" borderId="70" xfId="0" applyFont="1" applyBorder="1" applyAlignment="1">
      <alignment vertical="center" wrapText="1"/>
    </xf>
    <xf numFmtId="0" fontId="12" fillId="0" borderId="11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38" xfId="0" applyFont="1" applyBorder="1" applyAlignment="1">
      <alignment vertical="center"/>
    </xf>
    <xf numFmtId="0" fontId="11" fillId="0" borderId="37" xfId="0" applyFont="1" applyBorder="1" applyAlignment="1">
      <alignment vertical="center"/>
    </xf>
    <xf numFmtId="0" fontId="15" fillId="0" borderId="8" xfId="0" applyFont="1" applyBorder="1" applyAlignment="1">
      <alignment vertical="center" wrapText="1"/>
    </xf>
    <xf numFmtId="0" fontId="11" fillId="0" borderId="74" xfId="0" applyFont="1" applyBorder="1" applyAlignment="1">
      <alignment vertical="center"/>
    </xf>
    <xf numFmtId="0" fontId="11" fillId="0" borderId="72" xfId="0" applyFont="1" applyBorder="1" applyAlignment="1">
      <alignment vertical="center" wrapText="1"/>
    </xf>
    <xf numFmtId="0" fontId="15" fillId="0" borderId="25" xfId="0" applyFont="1" applyBorder="1" applyAlignment="1">
      <alignment vertical="center" wrapText="1"/>
    </xf>
    <xf numFmtId="0" fontId="11" fillId="0" borderId="57" xfId="0" applyFont="1" applyBorder="1" applyAlignment="1">
      <alignment vertical="center"/>
    </xf>
    <xf numFmtId="0" fontId="11" fillId="0" borderId="73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11" fillId="0" borderId="8" xfId="0" applyFont="1" applyBorder="1" applyAlignment="1">
      <alignment vertical="center"/>
    </xf>
    <xf numFmtId="0" fontId="11" fillId="0" borderId="25" xfId="0" applyFont="1" applyBorder="1" applyAlignment="1">
      <alignment vertical="center"/>
    </xf>
    <xf numFmtId="0" fontId="11" fillId="8" borderId="22" xfId="0" applyFont="1" applyFill="1" applyAlignment="1">
      <alignment vertical="center"/>
    </xf>
    <xf numFmtId="0" fontId="11" fillId="0" borderId="11" xfId="0" applyFont="1" applyBorder="1" applyAlignment="1">
      <alignment vertical="center" wrapText="1"/>
    </xf>
    <xf numFmtId="0" fontId="11" fillId="0" borderId="37" xfId="0" applyFont="1" applyBorder="1" applyAlignment="1">
      <alignment vertical="center" wrapText="1"/>
    </xf>
    <xf numFmtId="0" fontId="11" fillId="0" borderId="38" xfId="0" applyFont="1" applyBorder="1" applyAlignment="1">
      <alignment vertical="center" wrapText="1"/>
    </xf>
    <xf numFmtId="0" fontId="11" fillId="0" borderId="39" xfId="0" applyFont="1" applyBorder="1" applyAlignment="1">
      <alignment vertical="center" wrapText="1"/>
    </xf>
    <xf numFmtId="6" fontId="11" fillId="0" borderId="56" xfId="0" applyNumberFormat="1" applyFont="1" applyBorder="1" applyAlignment="1">
      <alignment horizontal="right" vertical="center" wrapText="1"/>
    </xf>
    <xf numFmtId="6" fontId="11" fillId="0" borderId="60" xfId="0" applyNumberFormat="1" applyFont="1" applyBorder="1" applyAlignment="1">
      <alignment horizontal="right" vertical="center" wrapText="1"/>
    </xf>
    <xf numFmtId="6" fontId="11" fillId="0" borderId="63" xfId="0" applyNumberFormat="1" applyFont="1" applyBorder="1" applyAlignment="1">
      <alignment horizontal="right" vertical="center" wrapText="1"/>
    </xf>
    <xf numFmtId="6" fontId="11" fillId="0" borderId="67" xfId="0" applyNumberFormat="1" applyFont="1" applyBorder="1" applyAlignment="1">
      <alignment horizontal="right" vertical="center" wrapText="1"/>
    </xf>
    <xf numFmtId="6" fontId="11" fillId="0" borderId="61" xfId="0" applyNumberFormat="1" applyFont="1" applyBorder="1" applyAlignment="1">
      <alignment horizontal="right" vertical="center" wrapText="1"/>
    </xf>
    <xf numFmtId="6" fontId="11" fillId="0" borderId="68" xfId="0" applyNumberFormat="1" applyFont="1" applyBorder="1" applyAlignment="1">
      <alignment horizontal="right" vertical="center" wrapText="1"/>
    </xf>
    <xf numFmtId="10" fontId="11" fillId="0" borderId="67" xfId="0" applyNumberFormat="1" applyFont="1" applyBorder="1" applyAlignment="1">
      <alignment horizontal="right" vertical="center" wrapText="1"/>
    </xf>
    <xf numFmtId="6" fontId="11" fillId="0" borderId="45" xfId="0" applyNumberFormat="1" applyFont="1" applyBorder="1" applyAlignment="1">
      <alignment horizontal="right" vertical="center" wrapText="1"/>
    </xf>
    <xf numFmtId="0" fontId="1" fillId="0" borderId="87" xfId="0" applyFont="1" applyBorder="1" applyAlignment="1">
      <alignment vertical="center"/>
    </xf>
    <xf numFmtId="164" fontId="0" fillId="0" borderId="68" xfId="0" applyNumberFormat="1" applyBorder="1"/>
    <xf numFmtId="6" fontId="11" fillId="0" borderId="55" xfId="0" applyNumberFormat="1" applyFont="1" applyBorder="1" applyAlignment="1">
      <alignment horizontal="right" vertical="center" wrapText="1"/>
    </xf>
    <xf numFmtId="0" fontId="16" fillId="0" borderId="8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8" fillId="0" borderId="2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7" borderId="3" xfId="0" applyFont="1" applyFill="1" applyBorder="1" applyAlignment="1">
      <alignment vertical="center"/>
    </xf>
    <xf numFmtId="0" fontId="1" fillId="10" borderId="26" xfId="0" applyFont="1" applyFill="1" applyBorder="1" applyAlignment="1">
      <alignment vertical="center"/>
    </xf>
    <xf numFmtId="0" fontId="13" fillId="10" borderId="28" xfId="0" applyFont="1" applyFill="1" applyBorder="1" applyAlignment="1">
      <alignment vertical="center"/>
    </xf>
    <xf numFmtId="0" fontId="7" fillId="10" borderId="28" xfId="0" applyFont="1" applyFill="1" applyBorder="1" applyAlignment="1">
      <alignment vertical="center"/>
    </xf>
    <xf numFmtId="0" fontId="7" fillId="10" borderId="27" xfId="0" applyFont="1" applyFill="1" applyBorder="1" applyAlignment="1">
      <alignment vertical="center"/>
    </xf>
    <xf numFmtId="0" fontId="7" fillId="10" borderId="26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11" fillId="12" borderId="22" xfId="0" applyFont="1" applyFill="1" applyAlignment="1">
      <alignment vertical="center"/>
    </xf>
    <xf numFmtId="0" fontId="11" fillId="12" borderId="0" xfId="0" applyFont="1" applyFill="1" applyBorder="1" applyAlignment="1">
      <alignment vertical="top" wrapText="1"/>
    </xf>
    <xf numFmtId="0" fontId="11" fillId="12" borderId="0" xfId="0" applyFont="1" applyFill="1" applyBorder="1" applyAlignment="1">
      <alignment vertical="center" wrapText="1"/>
    </xf>
    <xf numFmtId="6" fontId="0" fillId="0" borderId="4" xfId="0" applyNumberFormat="1" applyBorder="1"/>
    <xf numFmtId="0" fontId="14" fillId="0" borderId="28" xfId="0" applyFont="1" applyBorder="1" applyAlignment="1">
      <alignment vertical="center" wrapText="1"/>
    </xf>
    <xf numFmtId="0" fontId="14" fillId="10" borderId="26" xfId="0" applyFont="1" applyFill="1" applyBorder="1" applyAlignment="1">
      <alignment horizontal="center" vertical="center" wrapText="1"/>
    </xf>
    <xf numFmtId="0" fontId="14" fillId="10" borderId="27" xfId="0" applyFont="1" applyFill="1" applyBorder="1" applyAlignment="1">
      <alignment horizontal="center" vertical="center" wrapText="1"/>
    </xf>
    <xf numFmtId="0" fontId="11" fillId="0" borderId="71" xfId="0" applyFont="1" applyBorder="1" applyAlignment="1">
      <alignment vertical="center" wrapText="1"/>
    </xf>
    <xf numFmtId="0" fontId="11" fillId="0" borderId="64" xfId="0" applyFont="1" applyBorder="1" applyAlignment="1">
      <alignment vertical="center" wrapText="1"/>
    </xf>
    <xf numFmtId="0" fontId="11" fillId="0" borderId="65" xfId="0" applyFont="1" applyBorder="1" applyAlignment="1">
      <alignment vertical="center" wrapText="1"/>
    </xf>
    <xf numFmtId="0" fontId="11" fillId="0" borderId="66" xfId="0" applyFont="1" applyBorder="1" applyAlignment="1">
      <alignment vertical="center" wrapText="1"/>
    </xf>
    <xf numFmtId="0" fontId="14" fillId="10" borderId="26" xfId="0" applyFont="1" applyFill="1" applyBorder="1" applyAlignment="1">
      <alignment horizontal="center" vertical="center"/>
    </xf>
    <xf numFmtId="0" fontId="14" fillId="10" borderId="27" xfId="0" applyFont="1" applyFill="1" applyBorder="1" applyAlignment="1">
      <alignment horizontal="center" vertical="center"/>
    </xf>
    <xf numFmtId="0" fontId="12" fillId="0" borderId="49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 wrapText="1"/>
    </xf>
    <xf numFmtId="0" fontId="11" fillId="0" borderId="53" xfId="0" applyFont="1" applyBorder="1" applyAlignment="1">
      <alignment vertical="center" wrapText="1"/>
    </xf>
    <xf numFmtId="0" fontId="11" fillId="0" borderId="76" xfId="0" applyFont="1" applyBorder="1" applyAlignment="1">
      <alignment vertical="center" wrapText="1"/>
    </xf>
    <xf numFmtId="0" fontId="14" fillId="10" borderId="28" xfId="0" applyFont="1" applyFill="1" applyBorder="1" applyAlignment="1">
      <alignment horizontal="center" vertical="center"/>
    </xf>
    <xf numFmtId="0" fontId="12" fillId="0" borderId="43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/>
    </xf>
    <xf numFmtId="0" fontId="2" fillId="5" borderId="27" xfId="0" applyFont="1" applyFill="1" applyBorder="1" applyAlignment="1">
      <alignment horizontal="center"/>
    </xf>
    <xf numFmtId="14" fontId="2" fillId="6" borderId="26" xfId="0" applyNumberFormat="1" applyFont="1" applyFill="1" applyBorder="1" applyAlignment="1">
      <alignment horizontal="center"/>
    </xf>
    <xf numFmtId="14" fontId="2" fillId="6" borderId="27" xfId="0" applyNumberFormat="1" applyFont="1" applyFill="1" applyBorder="1" applyAlignment="1">
      <alignment horizontal="center"/>
    </xf>
    <xf numFmtId="0" fontId="3" fillId="4" borderId="29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6">
    <dxf>
      <fill>
        <patternFill>
          <bgColor theme="9" tint="0.39994506668294322"/>
        </patternFill>
      </fill>
    </dxf>
    <dxf>
      <fill>
        <patternFill>
          <bgColor rgb="FFFF4747"/>
        </patternFill>
      </fill>
    </dxf>
    <dxf>
      <fill>
        <patternFill>
          <bgColor rgb="FFFF9966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B7171"/>
        </patternFill>
      </fill>
    </dxf>
  </dxfs>
  <tableStyles count="0" defaultTableStyle="TableStyleMedium2" defaultPivotStyle="PivotStyleLight16"/>
  <colors>
    <mruColors>
      <color rgb="FF336699"/>
      <color rgb="FFFF9966"/>
      <color rgb="FFFF4747"/>
      <color rgb="FFFF6A47"/>
      <color rgb="FFFB7171"/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86"/>
  <sheetViews>
    <sheetView showGridLines="0" tabSelected="1" zoomScaleNormal="100" workbookViewId="0">
      <selection activeCell="C37" sqref="C37"/>
    </sheetView>
  </sheetViews>
  <sheetFormatPr defaultColWidth="9.109375" defaultRowHeight="13.8" x14ac:dyDescent="0.3"/>
  <cols>
    <col min="1" max="1" width="2.6640625" style="94" customWidth="1"/>
    <col min="2" max="2" width="25.109375" style="96" customWidth="1"/>
    <col min="3" max="4" width="15.6640625" style="96" customWidth="1"/>
    <col min="5" max="5" width="15.6640625" style="94" customWidth="1"/>
    <col min="6" max="6" width="2.6640625" style="94" customWidth="1"/>
    <col min="7" max="7" width="2.6640625" style="95" customWidth="1"/>
    <col min="8" max="8" width="2.6640625" style="94" customWidth="1"/>
    <col min="9" max="9" width="30.109375" style="96" bestFit="1" customWidth="1"/>
    <col min="10" max="10" width="2.6640625" style="96" customWidth="1"/>
    <col min="11" max="11" width="15.6640625" style="94" customWidth="1"/>
    <col min="12" max="12" width="21" style="96" bestFit="1" customWidth="1"/>
    <col min="13" max="13" width="17.44140625" style="94" customWidth="1"/>
    <col min="14" max="14" width="2.6640625" style="94" customWidth="1"/>
    <col min="15" max="15" width="31.109375" style="96" bestFit="1" customWidth="1"/>
    <col min="16" max="16" width="11.6640625" style="96" customWidth="1"/>
    <col min="17" max="17" width="7" style="96" customWidth="1"/>
    <col min="18" max="18" width="1.6640625" style="96" customWidth="1"/>
    <col min="19" max="19" width="11.33203125" style="96" bestFit="1" customWidth="1"/>
    <col min="20" max="16384" width="9.109375" style="96"/>
  </cols>
  <sheetData>
    <row r="1" spans="1:15" ht="24" thickTop="1" thickBot="1" x14ac:dyDescent="0.35">
      <c r="A1" s="191"/>
      <c r="B1" s="192" t="s">
        <v>22</v>
      </c>
      <c r="C1" s="193"/>
      <c r="D1" s="194"/>
      <c r="E1" s="195"/>
      <c r="F1" s="196"/>
      <c r="G1" s="190"/>
      <c r="I1" s="94"/>
      <c r="K1" s="96"/>
      <c r="M1" s="96"/>
      <c r="N1" s="96"/>
    </row>
    <row r="2" spans="1:15" s="94" customFormat="1" ht="15.9" customHeight="1" thickTop="1" thickBot="1" x14ac:dyDescent="0.35">
      <c r="B2" s="97"/>
      <c r="C2" s="97"/>
      <c r="D2" s="97"/>
      <c r="E2" s="188"/>
      <c r="F2" s="189"/>
      <c r="G2" s="98"/>
      <c r="J2" s="96"/>
      <c r="K2" s="216" t="s">
        <v>62</v>
      </c>
      <c r="L2" s="99" t="s">
        <v>93</v>
      </c>
      <c r="M2" s="174">
        <f>IF(C20=0,0,IF(C28="Single",0.8*52*(C47+C50+C53)+(0.5*C21)+C20+(Servicing!I6*12),C20+(0.5*C21)+(0.4*52*(C47+C50+C53))+(0.5*(Servicing!I6*12))))</f>
        <v>123520</v>
      </c>
      <c r="N2" s="100"/>
      <c r="O2" s="198" t="s">
        <v>122</v>
      </c>
    </row>
    <row r="3" spans="1:15" ht="15.9" customHeight="1" thickTop="1" thickBot="1" x14ac:dyDescent="0.35">
      <c r="B3" s="208" t="s">
        <v>2</v>
      </c>
      <c r="C3" s="215"/>
      <c r="D3" s="215"/>
      <c r="E3" s="209"/>
      <c r="F3" s="101"/>
      <c r="K3" s="217"/>
      <c r="L3" s="102" t="s">
        <v>94</v>
      </c>
      <c r="M3" s="184">
        <f>M2-M24</f>
        <v>121287.33333333333</v>
      </c>
      <c r="N3" s="100"/>
      <c r="O3" s="199" t="s">
        <v>95</v>
      </c>
    </row>
    <row r="4" spans="1:15" ht="15.9" customHeight="1" thickTop="1" thickBot="1" x14ac:dyDescent="0.35">
      <c r="B4" s="103" t="s">
        <v>18</v>
      </c>
      <c r="C4" s="104" t="s">
        <v>19</v>
      </c>
      <c r="D4" s="105" t="s">
        <v>17</v>
      </c>
      <c r="E4" s="106" t="s">
        <v>152</v>
      </c>
      <c r="F4" s="107"/>
      <c r="I4" s="108" t="s">
        <v>63</v>
      </c>
      <c r="K4" s="109"/>
      <c r="L4" s="109"/>
      <c r="M4" s="109"/>
      <c r="N4" s="100"/>
      <c r="O4" s="100"/>
    </row>
    <row r="5" spans="1:15" ht="15.9" customHeight="1" thickTop="1" x14ac:dyDescent="0.3">
      <c r="B5" s="110" t="s">
        <v>31</v>
      </c>
      <c r="C5" s="111" t="str">
        <f>IF(Servicing!I12&gt;=Servicing!I4,
   "Pass",
   IF(Servicing!I12&gt;=Servicing!I4-100000,
      "Refer",
      "Fail"
   )
)</f>
        <v>Pass</v>
      </c>
      <c r="D5" s="112" t="str">
        <f>IF((Servicing!C20 + Servicing!C31)&gt;=(0.3*Servicing!C49),"Pass","Fail")</f>
        <v>Pass</v>
      </c>
      <c r="E5" s="113" t="str">
        <f>IF(OR(C5="Fail",D5="Fail"),"Fail",
IF(OR(C5="Refer",D5="Refer"),"Refer",
"Pass"))</f>
        <v>Pass</v>
      </c>
      <c r="F5" s="114"/>
      <c r="I5" s="115" t="s">
        <v>68</v>
      </c>
      <c r="K5" s="218" t="s">
        <v>37</v>
      </c>
      <c r="L5" s="116" t="s">
        <v>93</v>
      </c>
      <c r="M5" s="175">
        <f>IF(C24=0,0,IF(C28="Single",0,0.4*52*(C47+C50+C53)+C24+(C25*0.5)+0.5*(Servicing!I6*12)))</f>
        <v>153520</v>
      </c>
      <c r="N5" s="100"/>
      <c r="O5" s="199" t="s">
        <v>96</v>
      </c>
    </row>
    <row r="6" spans="1:15" ht="15.9" customHeight="1" thickBot="1" x14ac:dyDescent="0.35">
      <c r="B6" s="110" t="s">
        <v>32</v>
      </c>
      <c r="C6" s="111" t="str">
        <f>IF((Servicing!I24+Servicing!C58)&gt;=Servicing!I18,
   "Pass",
   IF((Servicing!I24+Servicing!C58)&gt;=Servicing!I18-100000,
      "Refer",
      "Fail"
   )
)</f>
        <v>Pass</v>
      </c>
      <c r="D6" s="112" t="str">
        <f>IF(Servicing!C58&gt;=Servicing!I17*0.3,"Pass","Fail")</f>
        <v>Pass</v>
      </c>
      <c r="E6" s="113" t="str">
        <f>IF(OR(C6="Fail",D6="Fail"),"Fail",
IF(OR(C6="Refer",D6="Refer"),"Refer",
"Pass"))</f>
        <v>Pass</v>
      </c>
      <c r="F6" s="114"/>
      <c r="I6" s="115" t="s">
        <v>69</v>
      </c>
      <c r="J6" s="94"/>
      <c r="K6" s="219"/>
      <c r="L6" s="117" t="s">
        <v>94</v>
      </c>
      <c r="M6" s="181">
        <f>M5-M25</f>
        <v>150381.08333333334</v>
      </c>
      <c r="N6" s="100"/>
      <c r="O6" s="199" t="s">
        <v>97</v>
      </c>
    </row>
    <row r="7" spans="1:15" ht="15.9" customHeight="1" thickTop="1" thickBot="1" x14ac:dyDescent="0.35">
      <c r="B7" s="118" t="s">
        <v>30</v>
      </c>
      <c r="C7" s="119" t="str">
        <f>IF(OR(AND(Servicing!C30&lt;=0.8,C39&gt;=Servicing!F34,(C38+C43+C44+C46+C49+C52)&gt;=Servicing!F36),AND(Servicing!C30&gt;=0.8,Servicing!C30&lt;0.85,C39&gt;=Servicing!F35,(C38+C43+C44+C46+C49+C52)&gt;=Servicing!F36)),"Pass","Fail")</f>
        <v>Fail</v>
      </c>
      <c r="D7" s="120" t="str">
        <f>IF(Servicing!C17=0,"Fail",
IF(Servicing!C18&lt;=Servicing!C17*0.8,"Pass",
IF(Servicing!C18&lt;=Servicing!C17*0.9,"Refer",
"Fail")))</f>
        <v>Pass</v>
      </c>
      <c r="E7" s="121" t="str">
        <f>IF(OR(C7="Fail",D7="Fail"),"Fail",
IF(OR(C7="Refer",D7="Refer"),"Refer",
"Pass"))</f>
        <v>Fail</v>
      </c>
      <c r="F7" s="122"/>
      <c r="I7" s="123" t="s">
        <v>30</v>
      </c>
      <c r="J7" s="94"/>
      <c r="K7" s="109"/>
      <c r="L7" s="109"/>
      <c r="M7" s="109"/>
      <c r="N7" s="100"/>
      <c r="O7" s="100"/>
    </row>
    <row r="8" spans="1:15" s="94" customFormat="1" ht="15.9" customHeight="1" thickTop="1" thickBot="1" x14ac:dyDescent="0.35">
      <c r="B8" s="124"/>
      <c r="C8" s="122"/>
      <c r="D8" s="122"/>
      <c r="E8" s="125"/>
      <c r="F8" s="125"/>
      <c r="G8" s="126"/>
      <c r="H8" s="127"/>
      <c r="I8" s="128"/>
      <c r="K8" s="210" t="s">
        <v>98</v>
      </c>
      <c r="L8" s="211"/>
      <c r="M8" s="212"/>
      <c r="N8" s="100"/>
      <c r="O8" s="100"/>
    </row>
    <row r="9" spans="1:15" s="94" customFormat="1" ht="15.9" customHeight="1" thickTop="1" thickBot="1" x14ac:dyDescent="0.35">
      <c r="B9" s="208" t="s">
        <v>23</v>
      </c>
      <c r="C9" s="209"/>
      <c r="D9" s="129"/>
      <c r="G9" s="98"/>
      <c r="I9" s="128"/>
      <c r="K9" s="130" t="s">
        <v>99</v>
      </c>
      <c r="L9" s="131"/>
      <c r="M9" s="176">
        <f>(Servicing!C34+Servicing!C41+Servicing!C43)*12</f>
        <v>43753.424055327043</v>
      </c>
      <c r="N9" s="100"/>
      <c r="O9" s="199" t="s">
        <v>99</v>
      </c>
    </row>
    <row r="10" spans="1:15" s="94" customFormat="1" ht="15.9" customHeight="1" thickTop="1" x14ac:dyDescent="0.3">
      <c r="B10" s="185" t="s">
        <v>23</v>
      </c>
      <c r="C10" s="132">
        <f>IF(Servicing!C13&lt;=0,0,Servicing!I12)</f>
        <v>783372.34213855246</v>
      </c>
      <c r="D10" s="129"/>
      <c r="G10" s="98"/>
      <c r="I10" s="197" t="s">
        <v>64</v>
      </c>
      <c r="K10" s="133" t="s">
        <v>100</v>
      </c>
      <c r="L10" s="134"/>
      <c r="M10" s="177">
        <f>(Servicing!C35+Servicing!C36+Servicing!C37)*12</f>
        <v>0</v>
      </c>
      <c r="N10" s="100"/>
      <c r="O10" s="199" t="s">
        <v>100</v>
      </c>
    </row>
    <row r="11" spans="1:15" s="94" customFormat="1" ht="15.9" customHeight="1" x14ac:dyDescent="0.25">
      <c r="B11" s="186" t="s">
        <v>26</v>
      </c>
      <c r="C11" s="135">
        <f>IF(Servicing!C13&lt;=0,0,Servicing!I12+('A&amp;L'!C42*0.5))</f>
        <v>795872.34213855246</v>
      </c>
      <c r="D11" s="129"/>
      <c r="G11" s="98"/>
      <c r="I11" s="197" t="s">
        <v>26</v>
      </c>
      <c r="K11" s="133" t="s">
        <v>101</v>
      </c>
      <c r="L11" s="134"/>
      <c r="M11" s="177">
        <f>((C40*52)+(C31+C32+C33+C34)*12)+(Servicing!C39*12)</f>
        <v>456</v>
      </c>
      <c r="N11" s="100"/>
      <c r="O11" s="199" t="s">
        <v>101</v>
      </c>
    </row>
    <row r="12" spans="1:15" s="94" customFormat="1" ht="15.9" customHeight="1" x14ac:dyDescent="0.25">
      <c r="B12" s="186" t="s">
        <v>24</v>
      </c>
      <c r="C12" s="136">
        <f>Servicing!C31*4</f>
        <v>720000</v>
      </c>
      <c r="D12" s="129"/>
      <c r="G12" s="98"/>
      <c r="I12" s="197" t="s">
        <v>65</v>
      </c>
      <c r="K12" s="137" t="s">
        <v>102</v>
      </c>
      <c r="L12" s="138"/>
      <c r="M12" s="178">
        <f>Servicing!C47-1000</f>
        <v>5436</v>
      </c>
      <c r="N12" s="100"/>
      <c r="O12" s="199" t="s">
        <v>102</v>
      </c>
    </row>
    <row r="13" spans="1:15" s="94" customFormat="1" ht="15.9" customHeight="1" thickBot="1" x14ac:dyDescent="0.3">
      <c r="B13" s="186" t="s">
        <v>25</v>
      </c>
      <c r="C13" s="135">
        <f>Servicing!C31*4+('A&amp;L'!C42*0.5)</f>
        <v>732500</v>
      </c>
      <c r="D13" s="129"/>
      <c r="G13" s="98"/>
      <c r="I13" s="197" t="s">
        <v>25</v>
      </c>
      <c r="K13" s="139" t="s">
        <v>103</v>
      </c>
      <c r="L13" s="140"/>
      <c r="M13" s="179">
        <f>1.01*(M9+M10+M11+M12)</f>
        <v>50141.878295880313</v>
      </c>
      <c r="N13" s="100"/>
      <c r="O13" s="199" t="s">
        <v>103</v>
      </c>
    </row>
    <row r="14" spans="1:15" s="94" customFormat="1" ht="15.9" customHeight="1" thickTop="1" thickBot="1" x14ac:dyDescent="0.3">
      <c r="B14" s="155" t="s">
        <v>27</v>
      </c>
      <c r="C14" s="142">
        <f>IF(Servicing!C11=0,0,(Servicing!C18+Servicing!C22+Servicing!C25+Servicing!C28+Servicing!I4)/(Servicing!C11*12))</f>
        <v>5.8747123277334925</v>
      </c>
      <c r="D14" s="129"/>
      <c r="G14" s="98"/>
      <c r="I14" s="197" t="s">
        <v>27</v>
      </c>
      <c r="K14" s="143"/>
      <c r="L14" s="109"/>
      <c r="M14" s="109"/>
      <c r="N14" s="109"/>
      <c r="O14" s="100"/>
    </row>
    <row r="15" spans="1:15" s="94" customFormat="1" ht="15.9" customHeight="1" thickTop="1" thickBot="1" x14ac:dyDescent="0.3">
      <c r="B15" s="155" t="s">
        <v>28</v>
      </c>
      <c r="C15" s="144">
        <f>IF(Servicing!C59&lt;=0,0,Servicing!I24)</f>
        <v>413072.0050729278</v>
      </c>
      <c r="D15" s="129"/>
      <c r="G15" s="98"/>
      <c r="I15" s="197" t="s">
        <v>66</v>
      </c>
      <c r="J15" s="96"/>
      <c r="K15" s="210" t="s">
        <v>104</v>
      </c>
      <c r="L15" s="211"/>
      <c r="M15" s="212"/>
      <c r="N15" s="100"/>
      <c r="O15" s="100"/>
    </row>
    <row r="16" spans="1:15" s="94" customFormat="1" ht="15.9" customHeight="1" thickTop="1" thickBot="1" x14ac:dyDescent="0.35">
      <c r="B16" s="187" t="s">
        <v>29</v>
      </c>
      <c r="C16" s="146">
        <f>MAX(0,Servicing!C58/0.3)</f>
        <v>766666.66666666674</v>
      </c>
      <c r="D16" s="129"/>
      <c r="G16" s="98"/>
      <c r="I16" s="197" t="s">
        <v>67</v>
      </c>
      <c r="J16" s="96"/>
      <c r="K16" s="147" t="s">
        <v>105</v>
      </c>
      <c r="L16" s="148"/>
      <c r="M16" s="181">
        <f>M3+M6-M13</f>
        <v>221526.53837078638</v>
      </c>
      <c r="N16" s="100"/>
      <c r="O16" s="199" t="s">
        <v>105</v>
      </c>
    </row>
    <row r="17" spans="2:23" ht="15.9" customHeight="1" thickTop="1" thickBot="1" x14ac:dyDescent="0.35">
      <c r="B17" s="149"/>
      <c r="C17" s="150"/>
      <c r="D17" s="150"/>
      <c r="I17" s="150"/>
      <c r="K17" s="109"/>
      <c r="L17" s="109"/>
      <c r="M17" s="109"/>
      <c r="N17" s="100"/>
      <c r="O17" s="100"/>
    </row>
    <row r="18" spans="2:23" s="94" customFormat="1" ht="15.9" customHeight="1" thickTop="1" thickBot="1" x14ac:dyDescent="0.35">
      <c r="B18" s="208" t="s">
        <v>1</v>
      </c>
      <c r="C18" s="209"/>
      <c r="D18" s="128"/>
      <c r="G18" s="98"/>
      <c r="I18" s="150"/>
      <c r="J18" s="96"/>
      <c r="K18" s="210" t="s">
        <v>106</v>
      </c>
      <c r="L18" s="211"/>
      <c r="M18" s="212"/>
      <c r="N18" s="100"/>
      <c r="O18" s="100"/>
      <c r="P18" s="96"/>
      <c r="Q18" s="96"/>
      <c r="R18" s="96"/>
      <c r="S18" s="96"/>
      <c r="T18" s="96"/>
      <c r="U18" s="96"/>
      <c r="V18" s="96"/>
      <c r="W18" s="96"/>
    </row>
    <row r="19" spans="2:23" ht="15.9" customHeight="1" thickTop="1" x14ac:dyDescent="0.3">
      <c r="B19" s="151" t="s">
        <v>62</v>
      </c>
      <c r="C19"/>
      <c r="D19" s="152"/>
      <c r="I19" s="150"/>
      <c r="K19" s="153" t="s">
        <v>107</v>
      </c>
      <c r="L19" s="131"/>
      <c r="M19" s="176">
        <f>Servicing!C31</f>
        <v>180000</v>
      </c>
      <c r="N19" s="100"/>
      <c r="O19" s="199" t="s">
        <v>107</v>
      </c>
    </row>
    <row r="20" spans="2:23" s="94" customFormat="1" ht="15.9" customHeight="1" x14ac:dyDescent="0.3">
      <c r="B20" s="141" t="s">
        <v>34</v>
      </c>
      <c r="C20" s="54">
        <v>110000</v>
      </c>
      <c r="D20" s="128"/>
      <c r="G20" s="98"/>
      <c r="I20" s="123" t="s">
        <v>70</v>
      </c>
      <c r="J20" s="96"/>
      <c r="K20" s="133" t="s">
        <v>108</v>
      </c>
      <c r="L20" s="134"/>
      <c r="M20" s="180">
        <f>IFERROR((C38+C43+C44+C46+C49+C52)/(C37+C45+C48+C51),0)</f>
        <v>0.60111111111111115</v>
      </c>
      <c r="N20" s="100"/>
      <c r="O20" s="199" t="s">
        <v>108</v>
      </c>
      <c r="P20" s="96"/>
      <c r="Q20" s="96"/>
      <c r="R20" s="96"/>
      <c r="S20" s="96"/>
      <c r="T20" s="96"/>
      <c r="U20" s="96"/>
      <c r="V20" s="96"/>
      <c r="W20" s="96"/>
    </row>
    <row r="21" spans="2:23" s="94" customFormat="1" ht="15.9" customHeight="1" thickBot="1" x14ac:dyDescent="0.35">
      <c r="B21" s="141" t="s">
        <v>35</v>
      </c>
      <c r="C21" s="54"/>
      <c r="D21" s="128"/>
      <c r="G21" s="98"/>
      <c r="I21" s="123" t="s">
        <v>71</v>
      </c>
      <c r="J21" s="96"/>
      <c r="K21" s="147" t="s">
        <v>109</v>
      </c>
      <c r="L21" s="154"/>
      <c r="M21" s="181">
        <f>C38+C43+C44+C46+C49+C52</f>
        <v>541000</v>
      </c>
      <c r="N21" s="100"/>
      <c r="O21" s="199" t="s">
        <v>109</v>
      </c>
      <c r="P21" s="96"/>
      <c r="Q21" s="96"/>
      <c r="R21" s="96"/>
      <c r="S21" s="96"/>
      <c r="T21" s="96"/>
      <c r="U21" s="96"/>
      <c r="V21" s="96"/>
      <c r="W21" s="96"/>
    </row>
    <row r="22" spans="2:23" s="94" customFormat="1" ht="15.9" customHeight="1" thickTop="1" thickBot="1" x14ac:dyDescent="0.35">
      <c r="B22" s="141" t="s">
        <v>38</v>
      </c>
      <c r="C22" s="88">
        <v>130000</v>
      </c>
      <c r="D22" s="128"/>
      <c r="G22" s="98"/>
      <c r="I22" s="123" t="s">
        <v>72</v>
      </c>
      <c r="J22" s="96"/>
      <c r="K22" s="109"/>
      <c r="L22" s="109"/>
      <c r="M22" s="109"/>
      <c r="N22" s="100"/>
      <c r="O22" s="100"/>
      <c r="P22" s="96"/>
      <c r="Q22" s="96"/>
      <c r="R22" s="96"/>
      <c r="S22" s="96"/>
      <c r="T22" s="96"/>
      <c r="U22" s="96"/>
      <c r="V22" s="96"/>
      <c r="W22" s="96"/>
    </row>
    <row r="23" spans="2:23" s="94" customFormat="1" ht="15.9" customHeight="1" thickTop="1" thickBot="1" x14ac:dyDescent="0.35">
      <c r="B23" s="155" t="s">
        <v>37</v>
      </c>
      <c r="C23" s="156"/>
      <c r="D23" s="128"/>
      <c r="G23" s="98"/>
      <c r="I23" s="150"/>
      <c r="J23" s="96"/>
      <c r="K23" s="210" t="s">
        <v>121</v>
      </c>
      <c r="L23" s="211"/>
      <c r="M23" s="212"/>
      <c r="N23" s="100"/>
      <c r="O23" s="100"/>
      <c r="P23" s="96"/>
      <c r="Q23" s="96"/>
      <c r="R23" s="96"/>
      <c r="S23" s="96"/>
      <c r="T23" s="96"/>
      <c r="U23" s="96"/>
      <c r="V23" s="96"/>
      <c r="W23" s="96"/>
    </row>
    <row r="24" spans="2:23" s="94" customFormat="1" ht="15.9" customHeight="1" thickTop="1" x14ac:dyDescent="0.3">
      <c r="B24" s="157" t="s">
        <v>34</v>
      </c>
      <c r="C24" s="55">
        <v>140000</v>
      </c>
      <c r="D24" s="128"/>
      <c r="G24" s="98"/>
      <c r="I24" s="123" t="s">
        <v>73</v>
      </c>
      <c r="J24" s="96"/>
      <c r="K24" s="204" t="s">
        <v>116</v>
      </c>
      <c r="L24" s="205"/>
      <c r="M24" s="176">
        <f>(Servicing!C3+Servicing!C4)-Servicing!C5</f>
        <v>2232.6666666666661</v>
      </c>
      <c r="N24" s="100"/>
      <c r="O24" s="199" t="s">
        <v>110</v>
      </c>
      <c r="P24" s="96"/>
      <c r="Q24" s="96"/>
      <c r="R24" s="96"/>
      <c r="S24" s="96"/>
      <c r="T24" s="96"/>
      <c r="U24" s="96"/>
      <c r="V24" s="96"/>
      <c r="W24" s="96"/>
    </row>
    <row r="25" spans="2:23" s="94" customFormat="1" ht="15.9" customHeight="1" thickBot="1" x14ac:dyDescent="0.35">
      <c r="B25" s="157" t="s">
        <v>36</v>
      </c>
      <c r="C25" s="54"/>
      <c r="D25" s="128"/>
      <c r="G25" s="98"/>
      <c r="I25" s="123" t="s">
        <v>74</v>
      </c>
      <c r="J25" s="96"/>
      <c r="K25" s="213" t="s">
        <v>117</v>
      </c>
      <c r="L25" s="214"/>
      <c r="M25" s="181">
        <f>(Servicing!C6+Servicing!C7)-Servicing!C8</f>
        <v>3138.9166666666661</v>
      </c>
      <c r="N25" s="100"/>
      <c r="O25" s="199" t="s">
        <v>111</v>
      </c>
      <c r="P25" s="96"/>
      <c r="Q25" s="96"/>
      <c r="R25" s="96"/>
      <c r="S25" s="96"/>
      <c r="T25" s="96"/>
      <c r="U25" s="96"/>
      <c r="V25" s="96"/>
      <c r="W25" s="96"/>
    </row>
    <row r="26" spans="2:23" s="94" customFormat="1" ht="15.9" customHeight="1" thickTop="1" thickBot="1" x14ac:dyDescent="0.35">
      <c r="B26" s="157" t="s">
        <v>38</v>
      </c>
      <c r="C26" s="88">
        <v>120000</v>
      </c>
      <c r="D26" s="128"/>
      <c r="G26" s="98"/>
      <c r="I26" s="123" t="s">
        <v>75</v>
      </c>
      <c r="J26" s="96"/>
      <c r="K26" s="109"/>
      <c r="L26" s="143"/>
      <c r="M26" s="109"/>
      <c r="N26" s="100"/>
      <c r="O26" s="100"/>
      <c r="P26" s="96"/>
      <c r="Q26" s="96"/>
      <c r="R26" s="96"/>
      <c r="S26" s="96"/>
      <c r="T26" s="96"/>
      <c r="U26" s="96"/>
      <c r="V26" s="96"/>
      <c r="W26" s="96"/>
    </row>
    <row r="27" spans="2:23" s="94" customFormat="1" ht="15.9" customHeight="1" thickTop="1" thickBot="1" x14ac:dyDescent="0.35">
      <c r="B27" s="158" t="s">
        <v>33</v>
      </c>
      <c r="C27" s="89">
        <v>2</v>
      </c>
      <c r="D27" s="128"/>
      <c r="G27" s="98"/>
      <c r="I27" s="123" t="s">
        <v>33</v>
      </c>
      <c r="J27" s="96"/>
      <c r="K27" s="210" t="s">
        <v>21</v>
      </c>
      <c r="L27" s="211"/>
      <c r="M27" s="212"/>
      <c r="N27" s="100"/>
      <c r="O27" s="100"/>
      <c r="P27" s="96"/>
      <c r="Q27" s="96"/>
      <c r="R27" s="96"/>
      <c r="S27" s="96"/>
      <c r="T27" s="96"/>
      <c r="U27" s="96"/>
      <c r="V27" s="96"/>
      <c r="W27" s="96"/>
    </row>
    <row r="28" spans="2:23" s="94" customFormat="1" ht="15.9" customHeight="1" thickTop="1" thickBot="1" x14ac:dyDescent="0.35">
      <c r="B28" s="145" t="s">
        <v>39</v>
      </c>
      <c r="C28" s="90" t="s">
        <v>14</v>
      </c>
      <c r="D28" s="128"/>
      <c r="G28" s="98"/>
      <c r="I28" s="123" t="s">
        <v>39</v>
      </c>
      <c r="J28" s="96"/>
      <c r="K28" s="204" t="s">
        <v>118</v>
      </c>
      <c r="L28" s="205"/>
      <c r="M28" s="176">
        <f>Servicing!C54</f>
        <v>13200</v>
      </c>
      <c r="N28" s="100"/>
      <c r="O28" s="199" t="s">
        <v>112</v>
      </c>
      <c r="P28" s="96"/>
      <c r="Q28" s="96"/>
      <c r="R28" s="96"/>
      <c r="S28" s="96"/>
      <c r="T28" s="96"/>
      <c r="U28" s="96"/>
      <c r="V28" s="96"/>
      <c r="W28" s="96"/>
    </row>
    <row r="29" spans="2:23" s="94" customFormat="1" ht="15.9" customHeight="1" thickTop="1" thickBot="1" x14ac:dyDescent="0.35">
      <c r="B29" s="128"/>
      <c r="C29" s="128"/>
      <c r="D29" s="128"/>
      <c r="G29" s="98"/>
      <c r="I29" s="150"/>
      <c r="J29" s="96"/>
      <c r="K29" s="206" t="s">
        <v>119</v>
      </c>
      <c r="L29" s="207"/>
      <c r="M29" s="177">
        <f>Servicing!C56</f>
        <v>16800</v>
      </c>
      <c r="N29" s="100"/>
      <c r="O29" s="199" t="s">
        <v>113</v>
      </c>
      <c r="P29" s="96"/>
      <c r="Q29" s="96"/>
      <c r="R29" s="96"/>
      <c r="S29" s="96"/>
      <c r="T29" s="96"/>
      <c r="U29" s="96"/>
      <c r="V29" s="96"/>
      <c r="W29" s="96"/>
    </row>
    <row r="30" spans="2:23" s="94" customFormat="1" ht="15.9" customHeight="1" thickTop="1" thickBot="1" x14ac:dyDescent="0.35">
      <c r="B30" s="208" t="s">
        <v>3</v>
      </c>
      <c r="C30" s="209"/>
      <c r="D30" s="128"/>
      <c r="G30" s="98"/>
      <c r="I30" s="150"/>
      <c r="J30" s="96"/>
      <c r="K30" s="206" t="s">
        <v>120</v>
      </c>
      <c r="L30" s="207"/>
      <c r="M30" s="177">
        <f>IF(Servicing!C54=0,0,Servicing!I19*12)</f>
        <v>20280</v>
      </c>
      <c r="N30" s="100"/>
      <c r="O30" s="199" t="s">
        <v>114</v>
      </c>
      <c r="P30" s="96"/>
      <c r="Q30" s="96"/>
      <c r="R30" s="96"/>
      <c r="S30" s="96"/>
      <c r="T30" s="96"/>
      <c r="U30" s="96"/>
      <c r="V30" s="96"/>
      <c r="W30" s="96"/>
    </row>
    <row r="31" spans="2:23" s="94" customFormat="1" ht="15.9" customHeight="1" thickTop="1" x14ac:dyDescent="0.3">
      <c r="B31" s="159" t="s">
        <v>40</v>
      </c>
      <c r="C31" s="53"/>
      <c r="D31" s="128"/>
      <c r="G31" s="98"/>
      <c r="I31" s="123" t="s">
        <v>76</v>
      </c>
      <c r="J31" s="96"/>
      <c r="K31" s="160" t="s">
        <v>115</v>
      </c>
      <c r="L31" s="161"/>
      <c r="M31" s="177">
        <f>IF(Servicing!C54=0,0,(SUM(M28:M30)/12)-208.33)</f>
        <v>3981.67</v>
      </c>
      <c r="N31" s="100"/>
      <c r="O31" s="199" t="s">
        <v>115</v>
      </c>
      <c r="P31" s="96"/>
      <c r="Q31" s="96"/>
      <c r="R31" s="96"/>
      <c r="S31" s="96"/>
      <c r="T31" s="96"/>
      <c r="U31" s="96"/>
      <c r="V31" s="96"/>
      <c r="W31" s="96"/>
    </row>
    <row r="32" spans="2:23" s="94" customFormat="1" ht="15.9" customHeight="1" thickBot="1" x14ac:dyDescent="0.35">
      <c r="B32" s="162" t="s">
        <v>41</v>
      </c>
      <c r="C32" s="54"/>
      <c r="D32" s="128"/>
      <c r="G32" s="98"/>
      <c r="I32" s="123" t="s">
        <v>77</v>
      </c>
      <c r="J32" s="96"/>
      <c r="K32" s="163" t="s">
        <v>67</v>
      </c>
      <c r="L32" s="164"/>
      <c r="M32" s="183">
        <f>MAX(0,Servicing!C58)</f>
        <v>230000</v>
      </c>
      <c r="N32" s="100"/>
      <c r="O32" s="199" t="s">
        <v>67</v>
      </c>
      <c r="P32" s="96"/>
      <c r="Q32" s="96"/>
      <c r="R32" s="96"/>
      <c r="S32" s="96"/>
      <c r="T32" s="96"/>
      <c r="U32" s="96"/>
      <c r="V32" s="96"/>
      <c r="W32" s="96"/>
    </row>
    <row r="33" spans="2:23" ht="15.9" customHeight="1" thickTop="1" x14ac:dyDescent="0.3">
      <c r="B33" s="165" t="s">
        <v>42</v>
      </c>
      <c r="C33" s="55"/>
      <c r="D33" s="150"/>
      <c r="I33" s="123" t="s">
        <v>78</v>
      </c>
      <c r="K33" s="96"/>
      <c r="M33" s="182"/>
      <c r="N33" s="96"/>
    </row>
    <row r="34" spans="2:23" ht="15.9" customHeight="1" thickBot="1" x14ac:dyDescent="0.35">
      <c r="B34" s="166" t="s">
        <v>43</v>
      </c>
      <c r="C34" s="56"/>
      <c r="D34" s="150"/>
      <c r="I34" s="123" t="s">
        <v>79</v>
      </c>
      <c r="K34" s="96"/>
      <c r="M34" s="96"/>
      <c r="N34" s="96"/>
    </row>
    <row r="35" spans="2:23" s="94" customFormat="1" ht="15.9" customHeight="1" thickTop="1" thickBot="1" x14ac:dyDescent="0.35">
      <c r="B35" s="201"/>
      <c r="C35" s="128"/>
      <c r="D35" s="128"/>
      <c r="G35" s="98"/>
      <c r="I35" s="128"/>
      <c r="J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</row>
    <row r="36" spans="2:23" s="94" customFormat="1" ht="15.9" customHeight="1" thickTop="1" thickBot="1" x14ac:dyDescent="0.35">
      <c r="B36" s="202" t="s">
        <v>0</v>
      </c>
      <c r="C36" s="203"/>
      <c r="D36" s="128"/>
      <c r="G36" s="98"/>
      <c r="I36" s="150"/>
      <c r="J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</row>
    <row r="37" spans="2:23" s="94" customFormat="1" ht="15.9" customHeight="1" thickTop="1" x14ac:dyDescent="0.3">
      <c r="B37" s="167" t="s">
        <v>44</v>
      </c>
      <c r="C37" s="87">
        <v>900000</v>
      </c>
      <c r="D37" s="128"/>
      <c r="G37" s="98"/>
      <c r="I37" s="123" t="s">
        <v>44</v>
      </c>
      <c r="J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</row>
    <row r="38" spans="2:23" ht="15.9" customHeight="1" x14ac:dyDescent="0.3">
      <c r="B38" s="168" t="s">
        <v>59</v>
      </c>
      <c r="C38" s="91">
        <v>540000</v>
      </c>
      <c r="D38" s="150"/>
      <c r="I38" s="123" t="s">
        <v>80</v>
      </c>
      <c r="K38" s="96"/>
      <c r="M38" s="96"/>
      <c r="N38" s="96"/>
    </row>
    <row r="39" spans="2:23" ht="15.9" customHeight="1" x14ac:dyDescent="0.3">
      <c r="B39" s="141" t="s">
        <v>60</v>
      </c>
      <c r="C39" s="92"/>
      <c r="D39" s="150"/>
      <c r="I39" s="123" t="s">
        <v>45</v>
      </c>
      <c r="K39" s="96"/>
      <c r="M39" s="96"/>
      <c r="N39" s="96"/>
    </row>
    <row r="40" spans="2:23" ht="15.9" customHeight="1" x14ac:dyDescent="0.3">
      <c r="B40" s="141" t="s">
        <v>46</v>
      </c>
      <c r="C40" s="54"/>
      <c r="D40" s="150"/>
      <c r="I40" s="123" t="s">
        <v>81</v>
      </c>
      <c r="K40" s="96"/>
      <c r="M40" s="96"/>
      <c r="N40" s="96"/>
    </row>
    <row r="41" spans="2:23" ht="15.9" customHeight="1" x14ac:dyDescent="0.3">
      <c r="B41" s="158" t="s">
        <v>61</v>
      </c>
      <c r="C41" s="91"/>
      <c r="D41" s="150"/>
      <c r="I41" s="123" t="s">
        <v>82</v>
      </c>
      <c r="J41" s="94"/>
      <c r="K41" s="96"/>
      <c r="L41" s="94"/>
      <c r="O41" s="94"/>
    </row>
    <row r="42" spans="2:23" ht="15.9" customHeight="1" x14ac:dyDescent="0.3">
      <c r="B42" s="141" t="s">
        <v>47</v>
      </c>
      <c r="C42" s="54">
        <v>25000</v>
      </c>
      <c r="D42" s="150"/>
      <c r="I42" s="123" t="s">
        <v>47</v>
      </c>
      <c r="K42" s="96"/>
      <c r="M42" s="96"/>
      <c r="N42" s="96"/>
    </row>
    <row r="43" spans="2:23" s="94" customFormat="1" ht="15.9" customHeight="1" x14ac:dyDescent="0.3">
      <c r="B43" s="158" t="s">
        <v>123</v>
      </c>
      <c r="C43" s="87"/>
      <c r="D43" s="128"/>
      <c r="G43" s="98"/>
      <c r="I43" s="169" t="s">
        <v>48</v>
      </c>
      <c r="J43" s="96"/>
      <c r="L43" s="96"/>
      <c r="M43" s="96"/>
      <c r="N43" s="96"/>
      <c r="O43" s="96"/>
    </row>
    <row r="44" spans="2:23" ht="15.9" customHeight="1" x14ac:dyDescent="0.3">
      <c r="B44" s="170" t="s">
        <v>49</v>
      </c>
      <c r="C44" s="91">
        <v>1000</v>
      </c>
      <c r="D44" s="150"/>
      <c r="I44" s="123" t="s">
        <v>83</v>
      </c>
      <c r="K44" s="96"/>
      <c r="M44" s="96"/>
      <c r="N44" s="96"/>
    </row>
    <row r="45" spans="2:23" ht="15.9" customHeight="1" x14ac:dyDescent="0.3">
      <c r="B45" s="170" t="s">
        <v>50</v>
      </c>
      <c r="C45" s="91"/>
      <c r="D45" s="150"/>
      <c r="I45" s="123" t="s">
        <v>84</v>
      </c>
      <c r="K45" s="96"/>
      <c r="M45" s="96"/>
      <c r="N45" s="96"/>
    </row>
    <row r="46" spans="2:23" ht="15.9" customHeight="1" x14ac:dyDescent="0.3">
      <c r="B46" s="171" t="s">
        <v>51</v>
      </c>
      <c r="C46" s="91"/>
      <c r="D46" s="150"/>
      <c r="I46" s="123" t="s">
        <v>85</v>
      </c>
      <c r="K46" s="96"/>
      <c r="M46" s="96"/>
      <c r="N46" s="96"/>
    </row>
    <row r="47" spans="2:23" ht="15.9" customHeight="1" x14ac:dyDescent="0.3">
      <c r="B47" s="170" t="s">
        <v>52</v>
      </c>
      <c r="C47" s="91"/>
      <c r="D47" s="150"/>
      <c r="I47" s="123" t="s">
        <v>86</v>
      </c>
      <c r="K47" s="96"/>
      <c r="M47" s="96"/>
      <c r="N47" s="96"/>
    </row>
    <row r="48" spans="2:23" ht="15.9" customHeight="1" x14ac:dyDescent="0.3">
      <c r="B48" s="170" t="s">
        <v>53</v>
      </c>
      <c r="C48" s="54"/>
      <c r="D48" s="150"/>
      <c r="I48" s="123" t="s">
        <v>87</v>
      </c>
      <c r="K48" s="96"/>
      <c r="M48" s="96"/>
      <c r="N48" s="96"/>
    </row>
    <row r="49" spans="2:15" ht="15.9" customHeight="1" x14ac:dyDescent="0.3">
      <c r="B49" s="172" t="s">
        <v>54</v>
      </c>
      <c r="C49" s="54"/>
      <c r="D49" s="150"/>
      <c r="I49" s="123" t="s">
        <v>88</v>
      </c>
      <c r="K49" s="96"/>
      <c r="M49" s="96"/>
      <c r="N49" s="96"/>
    </row>
    <row r="50" spans="2:15" ht="15.9" customHeight="1" x14ac:dyDescent="0.3">
      <c r="B50" s="172" t="s">
        <v>55</v>
      </c>
      <c r="C50" s="54"/>
      <c r="D50" s="150"/>
      <c r="I50" s="123" t="s">
        <v>89</v>
      </c>
      <c r="K50" s="96"/>
      <c r="M50" s="96"/>
      <c r="N50" s="96"/>
    </row>
    <row r="51" spans="2:15" ht="15.9" customHeight="1" x14ac:dyDescent="0.3">
      <c r="B51" s="170" t="s">
        <v>56</v>
      </c>
      <c r="C51" s="87"/>
      <c r="D51" s="150"/>
      <c r="I51" s="123" t="s">
        <v>90</v>
      </c>
      <c r="K51" s="96"/>
      <c r="M51" s="96"/>
      <c r="N51" s="96"/>
    </row>
    <row r="52" spans="2:15" ht="15.9" customHeight="1" x14ac:dyDescent="0.3">
      <c r="B52" s="170" t="s">
        <v>57</v>
      </c>
      <c r="C52" s="54"/>
      <c r="D52" s="150"/>
      <c r="I52" s="123" t="s">
        <v>91</v>
      </c>
      <c r="K52" s="96"/>
      <c r="M52" s="96"/>
      <c r="N52" s="96"/>
    </row>
    <row r="53" spans="2:15" ht="15.9" customHeight="1" thickBot="1" x14ac:dyDescent="0.35">
      <c r="B53" s="173" t="s">
        <v>58</v>
      </c>
      <c r="C53" s="93"/>
      <c r="D53" s="150"/>
      <c r="I53" s="123" t="s">
        <v>92</v>
      </c>
      <c r="K53" s="96"/>
      <c r="M53" s="96"/>
      <c r="N53" s="96"/>
    </row>
    <row r="54" spans="2:15" ht="15" customHeight="1" thickTop="1" x14ac:dyDescent="0.3">
      <c r="B54" s="94"/>
      <c r="K54" s="96"/>
      <c r="M54" s="96"/>
      <c r="N54" s="96"/>
    </row>
    <row r="55" spans="2:15" ht="18" customHeight="1" x14ac:dyDescent="0.3">
      <c r="B55" s="94"/>
      <c r="K55" s="96"/>
      <c r="M55" s="96"/>
      <c r="N55" s="96"/>
    </row>
    <row r="56" spans="2:15" ht="15.9" customHeight="1" x14ac:dyDescent="0.3">
      <c r="B56" s="94"/>
      <c r="K56" s="96"/>
      <c r="M56" s="96"/>
      <c r="N56" s="96"/>
    </row>
    <row r="57" spans="2:15" ht="15.9" customHeight="1" x14ac:dyDescent="0.3">
      <c r="B57" s="94"/>
      <c r="K57" s="96"/>
      <c r="M57" s="96"/>
      <c r="N57" s="96"/>
    </row>
    <row r="58" spans="2:15" ht="15.9" customHeight="1" x14ac:dyDescent="0.3">
      <c r="B58" s="94"/>
      <c r="K58" s="96"/>
      <c r="M58" s="96"/>
      <c r="N58" s="96"/>
    </row>
    <row r="59" spans="2:15" ht="15.9" customHeight="1" x14ac:dyDescent="0.3">
      <c r="B59" s="94"/>
      <c r="K59" s="96"/>
      <c r="M59" s="96"/>
      <c r="N59" s="96"/>
    </row>
    <row r="60" spans="2:15" ht="15.9" customHeight="1" x14ac:dyDescent="0.3">
      <c r="B60" s="94"/>
      <c r="J60" s="94"/>
      <c r="K60" s="96"/>
      <c r="L60" s="94"/>
      <c r="O60" s="94"/>
    </row>
    <row r="61" spans="2:15" ht="15" customHeight="1" x14ac:dyDescent="0.3">
      <c r="B61" s="94"/>
      <c r="K61" s="96"/>
      <c r="M61" s="96"/>
      <c r="N61" s="96"/>
    </row>
    <row r="62" spans="2:15" s="94" customFormat="1" ht="15" customHeight="1" x14ac:dyDescent="0.3">
      <c r="G62" s="98"/>
      <c r="J62" s="96"/>
      <c r="L62" s="96"/>
      <c r="M62" s="96"/>
      <c r="N62" s="96"/>
      <c r="O62" s="96"/>
    </row>
    <row r="63" spans="2:15" ht="15.9" customHeight="1" x14ac:dyDescent="0.3">
      <c r="B63" s="94"/>
      <c r="K63" s="96"/>
      <c r="M63" s="96"/>
      <c r="N63" s="96"/>
    </row>
    <row r="64" spans="2:15" ht="15.9" customHeight="1" x14ac:dyDescent="0.3">
      <c r="B64" s="94"/>
      <c r="K64" s="96"/>
      <c r="M64" s="96"/>
      <c r="N64" s="96"/>
    </row>
    <row r="65" spans="2:14" ht="15.75" customHeight="1" x14ac:dyDescent="0.3">
      <c r="B65" s="94"/>
      <c r="K65" s="96"/>
      <c r="M65" s="96"/>
      <c r="N65" s="96"/>
    </row>
    <row r="66" spans="2:14" ht="15.9" customHeight="1" x14ac:dyDescent="0.3">
      <c r="B66" s="94"/>
      <c r="K66" s="96"/>
      <c r="M66" s="96"/>
      <c r="N66" s="96"/>
    </row>
    <row r="67" spans="2:14" x14ac:dyDescent="0.3">
      <c r="B67" s="94"/>
      <c r="K67" s="96"/>
      <c r="M67" s="96"/>
      <c r="N67" s="96"/>
    </row>
    <row r="68" spans="2:14" x14ac:dyDescent="0.3">
      <c r="B68" s="94"/>
      <c r="K68" s="96"/>
      <c r="M68" s="96"/>
      <c r="N68" s="96"/>
    </row>
    <row r="69" spans="2:14" ht="15" hidden="1" customHeight="1" x14ac:dyDescent="0.3">
      <c r="K69" s="96"/>
      <c r="M69" s="96"/>
      <c r="N69" s="96"/>
    </row>
    <row r="70" spans="2:14" ht="15.75" customHeight="1" x14ac:dyDescent="0.3">
      <c r="K70" s="96"/>
      <c r="M70" s="96"/>
      <c r="N70" s="96"/>
    </row>
    <row r="71" spans="2:14" ht="15.75" customHeight="1" x14ac:dyDescent="0.3">
      <c r="K71" s="96"/>
      <c r="M71" s="96"/>
      <c r="N71" s="96"/>
    </row>
    <row r="72" spans="2:14" x14ac:dyDescent="0.3">
      <c r="K72" s="96"/>
      <c r="M72" s="96"/>
      <c r="N72" s="96"/>
    </row>
    <row r="73" spans="2:14" x14ac:dyDescent="0.3">
      <c r="K73" s="96"/>
      <c r="M73" s="96"/>
      <c r="N73" s="96"/>
    </row>
    <row r="74" spans="2:14" x14ac:dyDescent="0.3">
      <c r="K74" s="96"/>
      <c r="M74" s="96"/>
      <c r="N74" s="96"/>
    </row>
    <row r="75" spans="2:14" x14ac:dyDescent="0.3">
      <c r="K75" s="96"/>
      <c r="M75" s="96"/>
      <c r="N75" s="96"/>
    </row>
    <row r="76" spans="2:14" x14ac:dyDescent="0.3">
      <c r="K76" s="96"/>
      <c r="M76" s="96"/>
      <c r="N76" s="96"/>
    </row>
    <row r="77" spans="2:14" x14ac:dyDescent="0.3">
      <c r="K77" s="96"/>
      <c r="M77" s="96"/>
      <c r="N77" s="96"/>
    </row>
    <row r="78" spans="2:14" x14ac:dyDescent="0.3">
      <c r="K78" s="96"/>
      <c r="M78" s="96"/>
      <c r="N78" s="96"/>
    </row>
    <row r="79" spans="2:14" x14ac:dyDescent="0.3">
      <c r="K79" s="96"/>
      <c r="M79" s="96"/>
      <c r="N79" s="96"/>
    </row>
    <row r="80" spans="2:14" x14ac:dyDescent="0.3">
      <c r="K80" s="96"/>
      <c r="M80" s="96"/>
      <c r="N80" s="96"/>
    </row>
    <row r="81" spans="11:14" x14ac:dyDescent="0.3">
      <c r="K81" s="96"/>
      <c r="M81" s="96"/>
      <c r="N81" s="96"/>
    </row>
    <row r="82" spans="11:14" x14ac:dyDescent="0.3">
      <c r="K82" s="96"/>
      <c r="M82" s="96"/>
      <c r="N82" s="96"/>
    </row>
    <row r="83" spans="11:14" x14ac:dyDescent="0.3">
      <c r="K83" s="96"/>
      <c r="M83" s="96"/>
      <c r="N83" s="96"/>
    </row>
    <row r="84" spans="11:14" x14ac:dyDescent="0.3">
      <c r="K84" s="96"/>
      <c r="M84" s="96"/>
      <c r="N84" s="96"/>
    </row>
    <row r="85" spans="11:14" x14ac:dyDescent="0.3">
      <c r="K85" s="96"/>
      <c r="M85" s="96"/>
      <c r="N85" s="96"/>
    </row>
    <row r="86" spans="11:14" x14ac:dyDescent="0.3">
      <c r="K86" s="96"/>
      <c r="M86" s="96"/>
      <c r="N86" s="96"/>
    </row>
  </sheetData>
  <sheetProtection selectLockedCells="1"/>
  <mergeCells count="17">
    <mergeCell ref="B3:E3"/>
    <mergeCell ref="K2:K3"/>
    <mergeCell ref="K5:K6"/>
    <mergeCell ref="K8:M8"/>
    <mergeCell ref="K15:M15"/>
    <mergeCell ref="B36:C36"/>
    <mergeCell ref="K28:L28"/>
    <mergeCell ref="K29:L29"/>
    <mergeCell ref="K30:L30"/>
    <mergeCell ref="B9:C9"/>
    <mergeCell ref="K23:M23"/>
    <mergeCell ref="K27:M27"/>
    <mergeCell ref="K24:L24"/>
    <mergeCell ref="K25:L25"/>
    <mergeCell ref="B30:C30"/>
    <mergeCell ref="B18:C18"/>
    <mergeCell ref="K18:M18"/>
  </mergeCells>
  <conditionalFormatting sqref="B14:B16">
    <cfRule type="containsText" dxfId="5" priority="7" operator="containsText" text="DNQ">
      <formula>NOT(ISERROR(SEARCH("DNQ",B14)))</formula>
    </cfRule>
    <cfRule type="containsText" dxfId="4" priority="8" operator="containsText" text="Refer">
      <formula>NOT(ISERROR(SEARCH("Refer",B14)))</formula>
    </cfRule>
    <cfRule type="containsText" dxfId="3" priority="9" operator="containsText" text="Likely">
      <formula>NOT(ISERROR(SEARCH("Likely",B14)))</formula>
    </cfRule>
  </conditionalFormatting>
  <conditionalFormatting sqref="C5:E7">
    <cfRule type="cellIs" dxfId="2" priority="1" operator="equal">
      <formula>"Refer"</formula>
    </cfRule>
    <cfRule type="cellIs" dxfId="1" priority="2" operator="equal">
      <formula>"Fail"</formula>
    </cfRule>
    <cfRule type="cellIs" dxfId="0" priority="3" operator="equal">
      <formula>"Pass"</formula>
    </cfRule>
  </conditionalFormatting>
  <dataValidations xWindow="212" yWindow="625" count="1">
    <dataValidation type="list" allowBlank="1" showInputMessage="1" showErrorMessage="1" sqref="C28" xr:uid="{FBD03A66-25CA-46BB-9D73-BCB068768279}">
      <formula1>"Single, Couple"</formula1>
    </dataValidation>
  </dataValidations>
  <pageMargins left="0.59055118110236227" right="0.59055118110236227" top="0.51181102362204722" bottom="0.39370078740157483" header="0.31496062992125978" footer="0.31496062992125978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46"/>
  <sheetViews>
    <sheetView zoomScaleNormal="100" workbookViewId="0">
      <selection activeCell="F23" sqref="F23"/>
    </sheetView>
  </sheetViews>
  <sheetFormatPr defaultRowHeight="14.4" x14ac:dyDescent="0.3"/>
  <cols>
    <col min="1" max="1" width="5.6640625" style="4" customWidth="1"/>
    <col min="2" max="2" width="41.44140625" bestFit="1" customWidth="1"/>
    <col min="3" max="3" width="16.5546875" customWidth="1"/>
    <col min="4" max="4" width="5.6640625" customWidth="1"/>
    <col min="5" max="5" width="29" bestFit="1" customWidth="1"/>
    <col min="6" max="6" width="12" bestFit="1" customWidth="1"/>
    <col min="7" max="7" width="5.6640625" customWidth="1"/>
    <col min="8" max="8" width="28.109375" customWidth="1"/>
    <col min="9" max="9" width="30.88671875" customWidth="1"/>
  </cols>
  <sheetData>
    <row r="1" spans="1:19" s="4" customFormat="1" ht="15" thickBot="1" x14ac:dyDescent="0.35"/>
    <row r="2" spans="1:19" ht="15.6" thickTop="1" thickBot="1" x14ac:dyDescent="0.35">
      <c r="A2" s="3"/>
      <c r="B2" s="222" t="s">
        <v>190</v>
      </c>
      <c r="C2" s="223"/>
      <c r="D2" s="3"/>
      <c r="E2" s="220" t="s">
        <v>195</v>
      </c>
      <c r="F2" s="221"/>
      <c r="H2" s="82" t="s">
        <v>197</v>
      </c>
      <c r="I2" s="83"/>
      <c r="K2" s="4"/>
      <c r="N2" s="4"/>
      <c r="Q2" s="4"/>
      <c r="R2" s="4"/>
      <c r="S2" s="4"/>
    </row>
    <row r="3" spans="1:19" s="4" customFormat="1" ht="15" thickTop="1" x14ac:dyDescent="0.3">
      <c r="A3" s="3"/>
      <c r="B3" s="4" t="s">
        <v>144</v>
      </c>
      <c r="C3" s="16">
        <f>'A&amp;L'!C20/12</f>
        <v>9166.6666666666661</v>
      </c>
      <c r="D3" s="3"/>
      <c r="E3" s="2" t="s">
        <v>214</v>
      </c>
      <c r="F3" s="75">
        <v>0.03</v>
      </c>
      <c r="G3" s="47"/>
      <c r="H3" s="51" t="s">
        <v>130</v>
      </c>
      <c r="I3" s="14">
        <v>500000</v>
      </c>
    </row>
    <row r="4" spans="1:19" s="4" customFormat="1" x14ac:dyDescent="0.3">
      <c r="A4" s="3"/>
      <c r="B4" s="4" t="s">
        <v>145</v>
      </c>
      <c r="C4" s="14">
        <f>'A&amp;L'!C21/12</f>
        <v>0</v>
      </c>
      <c r="D4" s="3"/>
      <c r="E4" s="4" t="s">
        <v>213</v>
      </c>
      <c r="F4" s="75">
        <v>6.5000000000000002E-2</v>
      </c>
      <c r="G4" s="79"/>
      <c r="H4" s="7" t="s">
        <v>131</v>
      </c>
      <c r="I4" s="14">
        <f>I3*1.1</f>
        <v>550000</v>
      </c>
    </row>
    <row r="5" spans="1:19" s="4" customFormat="1" x14ac:dyDescent="0.3">
      <c r="A5" s="3"/>
      <c r="B5" s="4" t="s">
        <v>148</v>
      </c>
      <c r="C5" s="14">
        <f>IF(C3+(C4*F8)=0,0,
(C3+(C4*F8))-
(
_xlfn.XLOOKUP((C3+(C4*F8))*12,Tax!$A$3:$A$7,Tax!$C$3:$C$7,,-1)
+(((C3+(C4*F8))*12)-_xlfn.XLOOKUP((C3+(C4*F8))*12,Tax!$A$3:$A$7,Tax!$E$3:$E$7,,-1))
*_xlfn.XLOOKUP((C3+(C4*F8))*12,Tax!$A$3:$A$7,Tax!$D$3:$D$7,,-1)
+((C3+(C4*F8))*12)*Tax!$H$3
)/12)</f>
        <v>6934</v>
      </c>
      <c r="D5" s="3"/>
      <c r="E5" s="4" t="s">
        <v>212</v>
      </c>
      <c r="F5" s="75">
        <f>F3+F4</f>
        <v>9.5000000000000001E-2</v>
      </c>
      <c r="G5" s="79"/>
      <c r="H5" s="7" t="s">
        <v>132</v>
      </c>
      <c r="I5" s="14">
        <v>300</v>
      </c>
      <c r="N5"/>
    </row>
    <row r="6" spans="1:19" s="4" customFormat="1" x14ac:dyDescent="0.3">
      <c r="A6" s="3"/>
      <c r="B6" s="4" t="s">
        <v>147</v>
      </c>
      <c r="C6" s="14">
        <f>'A&amp;L'!C24/12</f>
        <v>11666.666666666666</v>
      </c>
      <c r="D6" s="3"/>
      <c r="E6" s="4" t="s">
        <v>211</v>
      </c>
      <c r="F6" s="3">
        <v>30</v>
      </c>
      <c r="G6" s="79"/>
      <c r="H6" s="7" t="s">
        <v>133</v>
      </c>
      <c r="I6" s="14">
        <f>520*52/12</f>
        <v>2253.3333333333335</v>
      </c>
      <c r="N6"/>
    </row>
    <row r="7" spans="1:19" s="4" customFormat="1" x14ac:dyDescent="0.3">
      <c r="A7" s="3"/>
      <c r="B7" s="4" t="s">
        <v>150</v>
      </c>
      <c r="C7" s="14">
        <f>'A&amp;L'!C25/12</f>
        <v>0</v>
      </c>
      <c r="D7" s="3"/>
      <c r="E7" s="4" t="s">
        <v>210</v>
      </c>
      <c r="F7" s="11">
        <v>0.8</v>
      </c>
      <c r="G7" s="79"/>
      <c r="H7" s="7" t="s">
        <v>134</v>
      </c>
      <c r="I7" s="14">
        <f>I14*C14</f>
        <v>619.02126333333331</v>
      </c>
      <c r="N7"/>
    </row>
    <row r="8" spans="1:19" s="4" customFormat="1" x14ac:dyDescent="0.3">
      <c r="A8" s="3"/>
      <c r="B8" s="4" t="s">
        <v>149</v>
      </c>
      <c r="C8" s="14">
        <f>IF(C6+(C7*F8)=0,0,
(C6+(C7*F8))-
(
_xlfn.XLOOKUP((C6+(C7*F8))*12,Tax!$A$3:$A$7,Tax!$C$3:$C$7,,-1)
+(((C6+(C7*F8))*12)-_xlfn.XLOOKUP((C6+(C7*F8))*12,Tax!$A$3:$A$7,Tax!$E$3:$E$7,,-1))
*_xlfn.XLOOKUP((C6+(C7*F8))*12,Tax!$A$3:$A$7,Tax!$D$3:$D$7,,-1)
+((C6+(C7*F8))*12)*Tax!$H$3
)/12)</f>
        <v>8527.75</v>
      </c>
      <c r="D8" s="3"/>
      <c r="E8" s="4" t="s">
        <v>209</v>
      </c>
      <c r="F8" s="11">
        <v>0.8</v>
      </c>
      <c r="G8" s="80"/>
      <c r="H8" s="7" t="s">
        <v>135</v>
      </c>
      <c r="I8" s="14">
        <f>C11+(I6*0.8)</f>
        <v>17264.416666666668</v>
      </c>
      <c r="N8"/>
    </row>
    <row r="9" spans="1:19" s="4" customFormat="1" x14ac:dyDescent="0.3">
      <c r="A9" s="3"/>
      <c r="B9" s="4" t="s">
        <v>146</v>
      </c>
      <c r="C9" s="14">
        <f>C5+C8</f>
        <v>15461.75</v>
      </c>
      <c r="D9" s="3"/>
      <c r="E9" s="4" t="s">
        <v>16</v>
      </c>
      <c r="F9" s="15">
        <v>1</v>
      </c>
      <c r="G9" s="80"/>
      <c r="H9" s="7" t="s">
        <v>136</v>
      </c>
      <c r="I9" s="14">
        <f>C12+I5</f>
        <v>10420.118671277254</v>
      </c>
    </row>
    <row r="10" spans="1:19" s="4" customFormat="1" x14ac:dyDescent="0.3">
      <c r="A10" s="3"/>
      <c r="B10" s="4" t="s">
        <v>166</v>
      </c>
      <c r="C10" s="14">
        <f>('A&amp;L'!C47+'A&amp;L'!C50+'A&amp;L'!C53)*0.8*52/12</f>
        <v>0</v>
      </c>
      <c r="D10" s="3"/>
      <c r="E10" s="2" t="s">
        <v>181</v>
      </c>
      <c r="F10" s="3">
        <v>25</v>
      </c>
      <c r="G10" s="80"/>
      <c r="H10" s="7" t="s">
        <v>125</v>
      </c>
      <c r="I10" s="14">
        <f>I8-I9</f>
        <v>6844.2979953894137</v>
      </c>
    </row>
    <row r="11" spans="1:19" s="4" customFormat="1" x14ac:dyDescent="0.3">
      <c r="A11" s="3"/>
      <c r="B11" s="4" t="s">
        <v>179</v>
      </c>
      <c r="C11" s="14">
        <f>C9+C10</f>
        <v>15461.75</v>
      </c>
      <c r="D11" s="3"/>
      <c r="E11" s="4" t="s">
        <v>182</v>
      </c>
      <c r="F11" s="3">
        <v>5</v>
      </c>
      <c r="G11" s="80"/>
      <c r="H11" s="4" t="s">
        <v>137</v>
      </c>
      <c r="I11" s="14">
        <f>I10*F9</f>
        <v>6844.2979953894137</v>
      </c>
    </row>
    <row r="12" spans="1:19" s="4" customFormat="1" x14ac:dyDescent="0.3">
      <c r="A12" s="3"/>
      <c r="B12" s="4" t="s">
        <v>124</v>
      </c>
      <c r="C12" s="14">
        <f>C44+C47+C48</f>
        <v>10120.118671277254</v>
      </c>
      <c r="D12" s="3"/>
      <c r="E12" s="4" t="s">
        <v>171</v>
      </c>
      <c r="F12" s="75">
        <v>6.5000000000000002E-2</v>
      </c>
      <c r="G12" s="79"/>
      <c r="H12" s="4" t="s">
        <v>138</v>
      </c>
      <c r="I12" s="14">
        <f>PV(F5/12, F10*12, -I11, 0)</f>
        <v>783372.34213855246</v>
      </c>
      <c r="N12"/>
    </row>
    <row r="13" spans="1:19" x14ac:dyDescent="0.3">
      <c r="A13" s="3"/>
      <c r="B13" s="4" t="s">
        <v>125</v>
      </c>
      <c r="C13" s="14">
        <f>(C10+C11)-C12</f>
        <v>5341.6313287227458</v>
      </c>
      <c r="D13" s="3"/>
      <c r="E13" s="2" t="s">
        <v>172</v>
      </c>
      <c r="F13" s="75">
        <v>7.0000000000000007E-2</v>
      </c>
      <c r="G13" s="79"/>
      <c r="H13" s="4" t="s">
        <v>139</v>
      </c>
      <c r="I13" s="14">
        <f>(I4*F5)/12</f>
        <v>4354.166666666667</v>
      </c>
      <c r="K13" s="4"/>
      <c r="L13" s="4"/>
      <c r="Q13" s="4"/>
      <c r="R13" s="4"/>
      <c r="S13" s="4"/>
    </row>
    <row r="14" spans="1:19" ht="15" thickBot="1" x14ac:dyDescent="0.35">
      <c r="B14" s="6" t="s">
        <v>20</v>
      </c>
      <c r="C14" s="48">
        <f>IF((C3+C4+C6+C7+C10)=0,0,((C3+C4+C6+C7+C10)-C9)/(C3+C4+C6+C7+C10))</f>
        <v>0.25783599999999995</v>
      </c>
      <c r="D14" s="4"/>
      <c r="E14" s="2" t="s">
        <v>180</v>
      </c>
      <c r="F14" s="75">
        <v>3.7999999999999999E-2</v>
      </c>
      <c r="G14" s="81"/>
      <c r="H14" s="5" t="s">
        <v>140</v>
      </c>
      <c r="I14" s="17">
        <f>MAX(0,I13 + I5 - I6)</f>
        <v>2400.8333333333335</v>
      </c>
      <c r="K14" s="4"/>
      <c r="L14" s="4"/>
      <c r="Q14" s="4"/>
      <c r="R14" s="4"/>
      <c r="S14" s="4"/>
    </row>
    <row r="15" spans="1:19" ht="15.6" thickTop="1" thickBot="1" x14ac:dyDescent="0.35">
      <c r="B15" s="8"/>
      <c r="C15" s="45"/>
      <c r="D15" s="4"/>
      <c r="E15" s="6" t="s">
        <v>173</v>
      </c>
      <c r="F15" s="76">
        <v>0.12</v>
      </c>
      <c r="G15" s="45"/>
      <c r="H15" s="4"/>
      <c r="I15" s="4"/>
      <c r="K15" s="4"/>
      <c r="L15" s="4"/>
      <c r="N15" s="4"/>
    </row>
    <row r="16" spans="1:19" ht="15.6" thickTop="1" thickBot="1" x14ac:dyDescent="0.35">
      <c r="A16" s="3"/>
      <c r="B16" s="222" t="s">
        <v>191</v>
      </c>
      <c r="C16" s="223"/>
      <c r="D16" s="4"/>
      <c r="E16" s="4"/>
      <c r="F16" s="4"/>
      <c r="G16" s="4"/>
      <c r="H16" s="82" t="s">
        <v>198</v>
      </c>
      <c r="I16" s="83"/>
      <c r="K16" s="4"/>
      <c r="L16" s="4"/>
      <c r="N16" s="10"/>
    </row>
    <row r="17" spans="1:14" s="4" customFormat="1" ht="15.6" thickTop="1" thickBot="1" x14ac:dyDescent="0.35">
      <c r="A17" s="3"/>
      <c r="B17" s="2" t="s">
        <v>44</v>
      </c>
      <c r="C17" s="16">
        <f>'A&amp;L'!C37</f>
        <v>900000</v>
      </c>
      <c r="E17" s="220" t="s">
        <v>196</v>
      </c>
      <c r="F17" s="221"/>
      <c r="H17" s="51" t="s">
        <v>223</v>
      </c>
      <c r="I17" s="14">
        <v>500000</v>
      </c>
      <c r="M17" s="7"/>
      <c r="N17" s="10"/>
    </row>
    <row r="18" spans="1:14" s="4" customFormat="1" ht="15" thickTop="1" x14ac:dyDescent="0.3">
      <c r="B18" s="2" t="s">
        <v>158</v>
      </c>
      <c r="C18" s="14">
        <f>'A&amp;L'!C38</f>
        <v>540000</v>
      </c>
      <c r="E18" s="9" t="s">
        <v>222</v>
      </c>
      <c r="F18" s="78">
        <v>0.8</v>
      </c>
      <c r="G18" s="3"/>
      <c r="H18" s="7" t="s">
        <v>131</v>
      </c>
      <c r="I18" s="14">
        <f>I17*1.1</f>
        <v>550000</v>
      </c>
      <c r="M18" s="7"/>
      <c r="N18" s="10"/>
    </row>
    <row r="19" spans="1:14" s="4" customFormat="1" x14ac:dyDescent="0.3">
      <c r="B19" s="2" t="s">
        <v>167</v>
      </c>
      <c r="C19" s="14">
        <f>(C17*0.8)-C18</f>
        <v>180000</v>
      </c>
      <c r="E19" s="2" t="s">
        <v>221</v>
      </c>
      <c r="F19" s="11">
        <v>0.8</v>
      </c>
      <c r="G19" s="3"/>
      <c r="H19" s="7" t="s">
        <v>133</v>
      </c>
      <c r="I19" s="12">
        <f>390*52/12</f>
        <v>1690</v>
      </c>
      <c r="M19" s="7"/>
      <c r="N19" s="10"/>
    </row>
    <row r="20" spans="1:14" s="4" customFormat="1" x14ac:dyDescent="0.3">
      <c r="B20" s="2" t="s">
        <v>159</v>
      </c>
      <c r="C20" s="14">
        <f>'A&amp;L'!C42</f>
        <v>25000</v>
      </c>
      <c r="E20" s="2" t="s">
        <v>220</v>
      </c>
      <c r="F20" s="11">
        <v>4.4999999999999998E-2</v>
      </c>
      <c r="G20" s="3"/>
      <c r="H20" s="7" t="s">
        <v>132</v>
      </c>
      <c r="I20" s="12">
        <v>300</v>
      </c>
      <c r="M20" s="7"/>
      <c r="N20" s="10"/>
    </row>
    <row r="21" spans="1:14" s="4" customFormat="1" x14ac:dyDescent="0.3">
      <c r="B21" s="2" t="s">
        <v>160</v>
      </c>
      <c r="C21" s="14">
        <f>'A&amp;L'!C45</f>
        <v>0</v>
      </c>
      <c r="E21" s="2" t="s">
        <v>219</v>
      </c>
      <c r="F21" s="12">
        <v>2500</v>
      </c>
      <c r="G21" s="3"/>
      <c r="H21" s="4" t="s">
        <v>141</v>
      </c>
      <c r="I21" s="12">
        <f>F21/12</f>
        <v>208.33333333333334</v>
      </c>
      <c r="M21" s="7"/>
      <c r="N21" s="10"/>
    </row>
    <row r="22" spans="1:14" s="4" customFormat="1" x14ac:dyDescent="0.3">
      <c r="B22" s="2" t="s">
        <v>161</v>
      </c>
      <c r="C22" s="14">
        <f>'A&amp;L'!C46</f>
        <v>0</v>
      </c>
      <c r="E22" s="2" t="s">
        <v>218</v>
      </c>
      <c r="F22" s="11">
        <v>0.02</v>
      </c>
      <c r="G22" s="3"/>
      <c r="H22" s="4" t="s">
        <v>142</v>
      </c>
      <c r="I22" s="12">
        <f>I20+I21</f>
        <v>508.33333333333337</v>
      </c>
      <c r="M22" s="7"/>
      <c r="N22" s="10"/>
    </row>
    <row r="23" spans="1:14" s="4" customFormat="1" x14ac:dyDescent="0.3">
      <c r="B23" s="2" t="s">
        <v>168</v>
      </c>
      <c r="C23" s="14">
        <f>(C21*0.8)-C22</f>
        <v>0</v>
      </c>
      <c r="E23" s="2" t="s">
        <v>217</v>
      </c>
      <c r="F23" s="11">
        <v>7.4999999999999997E-2</v>
      </c>
      <c r="G23" s="3"/>
      <c r="H23" s="4" t="s">
        <v>143</v>
      </c>
      <c r="I23" s="14">
        <f>(C59/12)+I19-I22</f>
        <v>3473.333333333333</v>
      </c>
      <c r="M23" s="7"/>
      <c r="N23" s="10"/>
    </row>
    <row r="24" spans="1:14" s="4" customFormat="1" ht="15" thickBot="1" x14ac:dyDescent="0.35">
      <c r="B24" s="2" t="s">
        <v>162</v>
      </c>
      <c r="C24" s="14">
        <f>'A&amp;L'!C48</f>
        <v>0</v>
      </c>
      <c r="E24" s="2" t="s">
        <v>216</v>
      </c>
      <c r="F24" s="11">
        <f>F22+F23</f>
        <v>9.5000000000000001E-2</v>
      </c>
      <c r="G24" s="3"/>
      <c r="H24" s="5" t="s">
        <v>138</v>
      </c>
      <c r="I24" s="17">
        <f>IF(I23&lt;=0,0,
PV(F24/12,F25*12,-I23,0)
)</f>
        <v>413072.0050729278</v>
      </c>
      <c r="M24" s="7"/>
      <c r="N24" s="10"/>
    </row>
    <row r="25" spans="1:14" s="4" customFormat="1" ht="15.6" thickTop="1" thickBot="1" x14ac:dyDescent="0.35">
      <c r="B25" s="2" t="s">
        <v>163</v>
      </c>
      <c r="C25" s="14">
        <f>'A&amp;L'!C49</f>
        <v>0</v>
      </c>
      <c r="E25" s="6" t="s">
        <v>215</v>
      </c>
      <c r="F25" s="43">
        <v>30</v>
      </c>
      <c r="M25" s="7"/>
      <c r="N25" s="10"/>
    </row>
    <row r="26" spans="1:14" s="4" customFormat="1" ht="15.6" thickTop="1" thickBot="1" x14ac:dyDescent="0.35">
      <c r="B26" s="2" t="s">
        <v>169</v>
      </c>
      <c r="C26" s="14">
        <f>(C24*0.8)-C25</f>
        <v>0</v>
      </c>
      <c r="H26" s="82" t="s">
        <v>202</v>
      </c>
      <c r="I26" s="83"/>
      <c r="M26" s="7"/>
      <c r="N26" s="10"/>
    </row>
    <row r="27" spans="1:14" s="4" customFormat="1" ht="15.6" thickTop="1" thickBot="1" x14ac:dyDescent="0.35">
      <c r="B27" s="2" t="s">
        <v>164</v>
      </c>
      <c r="C27" s="14">
        <f>'A&amp;L'!C51</f>
        <v>0</v>
      </c>
      <c r="E27" s="220" t="s">
        <v>205</v>
      </c>
      <c r="F27" s="221"/>
      <c r="G27" s="3"/>
      <c r="H27" s="85" t="s">
        <v>200</v>
      </c>
      <c r="I27" s="14">
        <f>C18</f>
        <v>540000</v>
      </c>
      <c r="M27" s="7"/>
      <c r="N27" s="10"/>
    </row>
    <row r="28" spans="1:14" s="4" customFormat="1" ht="15" thickTop="1" x14ac:dyDescent="0.3">
      <c r="B28" s="2" t="s">
        <v>165</v>
      </c>
      <c r="C28" s="14">
        <f>'A&amp;L'!C52</f>
        <v>0</v>
      </c>
      <c r="D28" s="3"/>
      <c r="E28" s="4" t="s">
        <v>214</v>
      </c>
      <c r="F28" s="75">
        <v>0.03</v>
      </c>
      <c r="G28" s="3"/>
      <c r="H28" s="7" t="s">
        <v>201</v>
      </c>
      <c r="I28" s="14">
        <f>'A&amp;L'!C41+2500</f>
        <v>2500</v>
      </c>
      <c r="M28" s="7"/>
      <c r="N28" s="10"/>
    </row>
    <row r="29" spans="1:14" s="4" customFormat="1" x14ac:dyDescent="0.3">
      <c r="B29" s="2" t="s">
        <v>170</v>
      </c>
      <c r="C29" s="14">
        <f>(C27*0.8)-C28</f>
        <v>0</v>
      </c>
      <c r="D29" s="3"/>
      <c r="E29" s="4" t="s">
        <v>213</v>
      </c>
      <c r="F29" s="75">
        <v>6.5000000000000002E-2</v>
      </c>
      <c r="G29" s="3"/>
      <c r="H29" s="7" t="s">
        <v>203</v>
      </c>
      <c r="I29" s="14">
        <f>I27+I28</f>
        <v>542500</v>
      </c>
      <c r="M29" s="7"/>
      <c r="N29" s="10"/>
    </row>
    <row r="30" spans="1:14" s="4" customFormat="1" x14ac:dyDescent="0.3">
      <c r="B30" s="2" t="s">
        <v>224</v>
      </c>
      <c r="C30" s="11">
        <f>IFERROR((C18+C22+C25+C28+C40+C38)/(C17+C21+C24+C27),0)</f>
        <v>0.60111111111111115</v>
      </c>
      <c r="D30" s="3"/>
      <c r="E30" s="4" t="s">
        <v>212</v>
      </c>
      <c r="F30" s="75">
        <f>F28+F29</f>
        <v>9.5000000000000001E-2</v>
      </c>
      <c r="G30" s="3"/>
      <c r="H30" s="7" t="s">
        <v>204</v>
      </c>
      <c r="I30" s="14">
        <f>PMT(F12/12,F31*12,-I29)</f>
        <v>3428.9690274493287</v>
      </c>
      <c r="M30" s="7"/>
      <c r="N30" s="10"/>
    </row>
    <row r="31" spans="1:14" s="4" customFormat="1" ht="15" thickBot="1" x14ac:dyDescent="0.35">
      <c r="B31" s="6" t="s">
        <v>206</v>
      </c>
      <c r="C31" s="17">
        <f>C19+C23+C26+C29</f>
        <v>180000</v>
      </c>
      <c r="D31" s="3"/>
      <c r="E31" s="4" t="s">
        <v>211</v>
      </c>
      <c r="F31" s="3">
        <v>30</v>
      </c>
      <c r="G31" s="3"/>
      <c r="H31" s="7" t="s">
        <v>135</v>
      </c>
      <c r="I31" s="14">
        <f>C11</f>
        <v>15461.75</v>
      </c>
      <c r="M31" s="7"/>
      <c r="N31" s="10"/>
    </row>
    <row r="32" spans="1:14" s="4" customFormat="1" ht="15.6" thickTop="1" thickBot="1" x14ac:dyDescent="0.35">
      <c r="C32" s="45"/>
      <c r="D32" s="3"/>
      <c r="E32" s="4" t="s">
        <v>210</v>
      </c>
      <c r="F32" s="11">
        <v>0.8</v>
      </c>
      <c r="G32" s="3"/>
      <c r="H32" s="7" t="s">
        <v>136</v>
      </c>
      <c r="I32" s="14">
        <f>(C12-C34)+I30</f>
        <v>9902.9690274493296</v>
      </c>
      <c r="M32" s="7"/>
      <c r="N32" s="10"/>
    </row>
    <row r="33" spans="2:14" s="4" customFormat="1" ht="15.6" thickTop="1" thickBot="1" x14ac:dyDescent="0.35">
      <c r="B33" s="222" t="s">
        <v>192</v>
      </c>
      <c r="C33" s="223"/>
      <c r="D33" s="3"/>
      <c r="E33" s="4" t="s">
        <v>209</v>
      </c>
      <c r="F33" s="11">
        <v>0.8</v>
      </c>
      <c r="G33" s="3"/>
      <c r="H33" s="7" t="s">
        <v>125</v>
      </c>
      <c r="I33" s="14">
        <f>I31-I32</f>
        <v>5558.7809725506704</v>
      </c>
      <c r="M33" s="7"/>
      <c r="N33" s="10"/>
    </row>
    <row r="34" spans="2:14" s="4" customFormat="1" ht="15" thickTop="1" x14ac:dyDescent="0.3">
      <c r="B34" s="9" t="s">
        <v>174</v>
      </c>
      <c r="C34" s="16">
        <f>IF(C18&gt;0,PMT(F12/12,F10*12,-C18),0)</f>
        <v>3646.1186712772537</v>
      </c>
      <c r="D34" s="3"/>
      <c r="E34" s="4" t="s">
        <v>225</v>
      </c>
      <c r="F34" s="11">
        <v>6.5000000000000002E-2</v>
      </c>
      <c r="G34" s="3"/>
      <c r="H34" s="4" t="s">
        <v>137</v>
      </c>
      <c r="I34" s="14">
        <f>I33*F37</f>
        <v>5836.7200211782038</v>
      </c>
      <c r="M34" s="7"/>
      <c r="N34" s="10"/>
    </row>
    <row r="35" spans="2:14" s="4" customFormat="1" ht="15" thickBot="1" x14ac:dyDescent="0.35">
      <c r="B35" s="2" t="s">
        <v>175</v>
      </c>
      <c r="C35" s="14">
        <f>IF(C22&gt;0,PMT(F13/12,F10*12,-C22),0)</f>
        <v>0</v>
      </c>
      <c r="E35" s="2" t="s">
        <v>226</v>
      </c>
      <c r="F35" s="11">
        <v>7.0000000000000007E-2</v>
      </c>
      <c r="G35" s="3"/>
      <c r="H35" s="6" t="s">
        <v>138</v>
      </c>
      <c r="I35" s="17">
        <f>PV(F5/12, F31*12, -I34, 0)</f>
        <v>694141.73959617526</v>
      </c>
      <c r="M35" s="7"/>
      <c r="N35" s="10"/>
    </row>
    <row r="36" spans="2:14" s="4" customFormat="1" ht="15" thickTop="1" x14ac:dyDescent="0.3">
      <c r="B36" s="2" t="s">
        <v>176</v>
      </c>
      <c r="C36" s="14">
        <f>IF(C25&gt;0,PMT(F13/12,F10*12,-C25),0)</f>
        <v>0</v>
      </c>
      <c r="E36" s="2" t="s">
        <v>157</v>
      </c>
      <c r="F36" s="200">
        <v>400000</v>
      </c>
      <c r="M36" s="7"/>
      <c r="N36" s="10"/>
    </row>
    <row r="37" spans="2:14" s="4" customFormat="1" ht="15" thickBot="1" x14ac:dyDescent="0.35">
      <c r="B37" s="2" t="s">
        <v>177</v>
      </c>
      <c r="C37" s="14">
        <f>IF(C28&gt;0,PMT(F13/12,F10*12,-C28),0)</f>
        <v>0</v>
      </c>
      <c r="E37" s="6" t="s">
        <v>16</v>
      </c>
      <c r="F37" s="86">
        <v>1.05</v>
      </c>
      <c r="M37" s="7"/>
      <c r="N37" s="10"/>
    </row>
    <row r="38" spans="2:14" s="4" customFormat="1" ht="15" thickTop="1" x14ac:dyDescent="0.3">
      <c r="B38" s="2" t="s">
        <v>185</v>
      </c>
      <c r="C38" s="14">
        <f>'A&amp;L'!C44</f>
        <v>1000</v>
      </c>
      <c r="M38" s="7"/>
      <c r="N38" s="10"/>
    </row>
    <row r="39" spans="2:14" s="4" customFormat="1" x14ac:dyDescent="0.3">
      <c r="B39" s="2" t="s">
        <v>178</v>
      </c>
      <c r="C39" s="14">
        <f>IF(C38&gt;0,C38*F14,0)</f>
        <v>38</v>
      </c>
      <c r="M39" s="7"/>
      <c r="N39" s="10"/>
    </row>
    <row r="40" spans="2:14" s="4" customFormat="1" x14ac:dyDescent="0.3">
      <c r="B40" s="2" t="s">
        <v>183</v>
      </c>
      <c r="C40" s="14">
        <f>'A&amp;L'!C43</f>
        <v>0</v>
      </c>
      <c r="M40" s="7"/>
      <c r="N40" s="10"/>
    </row>
    <row r="41" spans="2:14" s="4" customFormat="1" x14ac:dyDescent="0.3">
      <c r="B41" s="2" t="s">
        <v>184</v>
      </c>
      <c r="C41" s="14">
        <f>IF(C40&gt;0,PMT(F15/12,F11*12,-C40),0)</f>
        <v>0</v>
      </c>
      <c r="M41" s="7"/>
      <c r="N41" s="10"/>
    </row>
    <row r="42" spans="2:14" s="4" customFormat="1" x14ac:dyDescent="0.3">
      <c r="B42" s="2" t="s">
        <v>207</v>
      </c>
      <c r="C42" s="14">
        <f>'A&amp;L'!C41</f>
        <v>0</v>
      </c>
      <c r="M42" s="7"/>
      <c r="N42" s="10"/>
    </row>
    <row r="43" spans="2:14" s="4" customFormat="1" x14ac:dyDescent="0.3">
      <c r="B43" s="2" t="s">
        <v>208</v>
      </c>
      <c r="C43" s="14">
        <f>PMT(F12/12,F31*12,-C42)</f>
        <v>0</v>
      </c>
      <c r="M43" s="7"/>
      <c r="N43" s="10"/>
    </row>
    <row r="44" spans="2:14" s="4" customFormat="1" ht="15" thickBot="1" x14ac:dyDescent="0.35">
      <c r="B44" s="6" t="s">
        <v>186</v>
      </c>
      <c r="C44" s="17">
        <f>C34+C35+C36+C37+C39+C41</f>
        <v>3684.1186712772537</v>
      </c>
      <c r="M44" s="7"/>
      <c r="N44" s="10"/>
    </row>
    <row r="45" spans="2:14" s="4" customFormat="1" ht="15.6" thickTop="1" thickBot="1" x14ac:dyDescent="0.35">
      <c r="C45" s="7"/>
      <c r="M45" s="7"/>
      <c r="N45" s="10"/>
    </row>
    <row r="46" spans="2:14" s="4" customFormat="1" ht="15.6" thickTop="1" thickBot="1" x14ac:dyDescent="0.35">
      <c r="B46" s="49" t="s">
        <v>193</v>
      </c>
      <c r="C46" s="50"/>
      <c r="M46" s="7"/>
      <c r="N46" s="10"/>
    </row>
    <row r="47" spans="2:14" s="4" customFormat="1" ht="15" thickTop="1" x14ac:dyDescent="0.3">
      <c r="B47" s="9" t="s">
        <v>13</v>
      </c>
      <c r="C47" s="74" cm="1">
        <f t="array" ref="C47">_xlfn.XLOOKUP(1,
(TRIM(HEM!$A$2:$A$41)=TRIM($C$50))*
(HEM!$B$2:$B$41=MIN($C$49,3))*
(HEM!$C$2:$C$41&gt;=($C$3+$C$4+$C$6+$C$7)*12),
HEM!$D$2:$D$41,
_xlfn.XLOOKUP(1,
(TRIM(HEM!$A$2:$A$41)=TRIM($C$50))*
(HEM!$B$2:$B$41=MIN($C$49,3))*
(HEM!$C$2:$C$41=300000),
HEM!$D$2:$D$41,
0),
0)+1000</f>
        <v>6436</v>
      </c>
      <c r="M47" s="7"/>
      <c r="N47" s="10"/>
    </row>
    <row r="48" spans="2:14" x14ac:dyDescent="0.3">
      <c r="B48" s="2" t="s">
        <v>199</v>
      </c>
      <c r="C48" s="84">
        <f>'A&amp;L'!C31+'A&amp;L'!C32+'A&amp;L'!C33+'A&amp;L'!C34</f>
        <v>0</v>
      </c>
      <c r="D48" s="4"/>
      <c r="E48" s="4"/>
      <c r="F48" s="4"/>
      <c r="H48" s="4"/>
      <c r="I48" s="4"/>
      <c r="N48" s="10"/>
    </row>
    <row r="49" spans="1:14" x14ac:dyDescent="0.3">
      <c r="B49" s="2" t="s">
        <v>151</v>
      </c>
      <c r="C49" s="52">
        <f>MIN('A&amp;L'!C27,3)</f>
        <v>2</v>
      </c>
      <c r="D49" s="4"/>
      <c r="E49" s="4"/>
      <c r="F49" s="4"/>
      <c r="G49" s="45"/>
      <c r="H49" s="4"/>
      <c r="I49" s="4"/>
      <c r="N49" s="10"/>
    </row>
    <row r="50" spans="1:14" s="4" customFormat="1" ht="15" thickBot="1" x14ac:dyDescent="0.35">
      <c r="B50" s="6" t="s">
        <v>39</v>
      </c>
      <c r="C50" s="77" t="str">
        <f>'A&amp;L'!C28</f>
        <v>Couple</v>
      </c>
      <c r="F50"/>
      <c r="N50" s="10"/>
    </row>
    <row r="51" spans="1:14" s="4" customFormat="1" ht="15.6" thickTop="1" thickBot="1" x14ac:dyDescent="0.35">
      <c r="A51" s="3"/>
      <c r="B51" s="8"/>
      <c r="F51"/>
      <c r="N51" s="10"/>
    </row>
    <row r="52" spans="1:14" s="4" customFormat="1" ht="15.6" thickTop="1" thickBot="1" x14ac:dyDescent="0.35">
      <c r="A52" s="3"/>
      <c r="B52" s="13" t="s">
        <v>194</v>
      </c>
      <c r="C52" s="18"/>
      <c r="N52" s="10"/>
    </row>
    <row r="53" spans="1:14" s="4" customFormat="1" ht="15" thickTop="1" x14ac:dyDescent="0.3">
      <c r="A53" s="3"/>
      <c r="B53" s="9" t="s">
        <v>187</v>
      </c>
      <c r="C53" s="16">
        <f>'A&amp;L'!C20</f>
        <v>110000</v>
      </c>
      <c r="G53" s="45"/>
      <c r="N53" s="10"/>
    </row>
    <row r="54" spans="1:14" s="4" customFormat="1" x14ac:dyDescent="0.3">
      <c r="B54" s="2" t="s">
        <v>126</v>
      </c>
      <c r="C54" s="14">
        <f>MIN(C53*12%,30000)</f>
        <v>13200</v>
      </c>
      <c r="G54" s="45"/>
      <c r="N54" s="10"/>
    </row>
    <row r="55" spans="1:14" s="4" customFormat="1" x14ac:dyDescent="0.3">
      <c r="B55" s="2" t="s">
        <v>188</v>
      </c>
      <c r="C55" s="14">
        <f>'A&amp;L'!C24</f>
        <v>140000</v>
      </c>
      <c r="G55" s="45"/>
      <c r="N55" s="7"/>
    </row>
    <row r="56" spans="1:14" s="4" customFormat="1" x14ac:dyDescent="0.3">
      <c r="B56" s="2" t="s">
        <v>127</v>
      </c>
      <c r="C56" s="14">
        <f>MIN(C55*12%,30000)</f>
        <v>16800</v>
      </c>
      <c r="G56" s="45"/>
      <c r="N56" s="7"/>
    </row>
    <row r="57" spans="1:14" s="4" customFormat="1" x14ac:dyDescent="0.3">
      <c r="A57" s="3"/>
      <c r="B57" s="2" t="s">
        <v>189</v>
      </c>
      <c r="C57" s="14">
        <f>'A&amp;L'!C22+'A&amp;L'!C26</f>
        <v>250000</v>
      </c>
      <c r="G57" s="44"/>
      <c r="N57" s="7"/>
    </row>
    <row r="58" spans="1:14" s="4" customFormat="1" x14ac:dyDescent="0.3">
      <c r="B58" s="2" t="s">
        <v>128</v>
      </c>
      <c r="C58" s="14">
        <f>C57-20000</f>
        <v>230000</v>
      </c>
      <c r="G58" s="45"/>
      <c r="N58" s="7"/>
    </row>
    <row r="59" spans="1:14" s="4" customFormat="1" ht="15" thickBot="1" x14ac:dyDescent="0.35">
      <c r="B59" s="2" t="s">
        <v>129</v>
      </c>
      <c r="C59" s="14">
        <f>(C54+C56)-F21</f>
        <v>27500</v>
      </c>
      <c r="G59" s="45"/>
      <c r="N59" s="7"/>
    </row>
    <row r="60" spans="1:14" s="4" customFormat="1" ht="15" thickTop="1" x14ac:dyDescent="0.3">
      <c r="B60" s="1"/>
      <c r="C60" s="1"/>
      <c r="G60" s="45"/>
      <c r="N60" s="7"/>
    </row>
    <row r="61" spans="1:14" s="4" customFormat="1" x14ac:dyDescent="0.3">
      <c r="G61" s="46"/>
    </row>
    <row r="62" spans="1:14" s="4" customFormat="1" x14ac:dyDescent="0.3"/>
    <row r="63" spans="1:14" s="4" customFormat="1" x14ac:dyDescent="0.3"/>
    <row r="64" spans="1:14" s="4" customFormat="1" x14ac:dyDescent="0.3">
      <c r="H64"/>
      <c r="I64"/>
    </row>
    <row r="65" spans="2:9" s="4" customFormat="1" x14ac:dyDescent="0.3">
      <c r="H65"/>
      <c r="I65"/>
    </row>
    <row r="66" spans="2:9" s="4" customFormat="1" x14ac:dyDescent="0.3"/>
    <row r="67" spans="2:9" s="4" customFormat="1" x14ac:dyDescent="0.3">
      <c r="H67"/>
      <c r="I67"/>
    </row>
    <row r="68" spans="2:9" s="4" customFormat="1" x14ac:dyDescent="0.3">
      <c r="H68"/>
      <c r="I68"/>
    </row>
    <row r="69" spans="2:9" s="4" customFormat="1" x14ac:dyDescent="0.3"/>
    <row r="70" spans="2:9" s="4" customFormat="1" x14ac:dyDescent="0.3">
      <c r="H70"/>
      <c r="I70"/>
    </row>
    <row r="71" spans="2:9" s="4" customFormat="1" x14ac:dyDescent="0.3">
      <c r="H71"/>
      <c r="I71"/>
    </row>
    <row r="72" spans="2:9" s="4" customFormat="1" x14ac:dyDescent="0.3">
      <c r="H72"/>
      <c r="I72"/>
    </row>
    <row r="73" spans="2:9" s="4" customFormat="1" x14ac:dyDescent="0.3">
      <c r="B73"/>
      <c r="C73"/>
      <c r="E73" s="10"/>
      <c r="H73"/>
      <c r="I73"/>
    </row>
    <row r="74" spans="2:9" s="4" customFormat="1" x14ac:dyDescent="0.3">
      <c r="B74"/>
      <c r="C74"/>
      <c r="H74"/>
      <c r="I74"/>
    </row>
    <row r="75" spans="2:9" x14ac:dyDescent="0.3">
      <c r="B75" s="4"/>
      <c r="C75" s="4"/>
      <c r="E75" s="4"/>
      <c r="F75" s="4"/>
      <c r="G75" s="4"/>
      <c r="H75" s="4"/>
      <c r="I75" s="4"/>
    </row>
    <row r="76" spans="2:9" x14ac:dyDescent="0.3">
      <c r="E76" s="4"/>
      <c r="F76" s="4"/>
      <c r="G76" s="4"/>
    </row>
    <row r="77" spans="2:9" s="4" customFormat="1" x14ac:dyDescent="0.3">
      <c r="B77"/>
      <c r="C77"/>
    </row>
    <row r="78" spans="2:9" x14ac:dyDescent="0.3">
      <c r="B78" s="4"/>
      <c r="C78" s="4"/>
      <c r="E78" s="4"/>
      <c r="F78" s="4"/>
      <c r="G78" s="4"/>
    </row>
    <row r="79" spans="2:9" x14ac:dyDescent="0.3">
      <c r="E79" s="4"/>
      <c r="F79" s="4"/>
      <c r="G79" s="4"/>
    </row>
    <row r="80" spans="2:9" s="4" customFormat="1" x14ac:dyDescent="0.3">
      <c r="B80"/>
      <c r="C80"/>
      <c r="H80"/>
      <c r="I80"/>
    </row>
    <row r="81" spans="1:9" x14ac:dyDescent="0.3">
      <c r="E81" s="7"/>
      <c r="F81" s="4"/>
      <c r="G81" s="4"/>
    </row>
    <row r="82" spans="1:9" x14ac:dyDescent="0.3">
      <c r="E82" s="7"/>
      <c r="F82" s="4"/>
    </row>
    <row r="83" spans="1:9" x14ac:dyDescent="0.3">
      <c r="E83" s="7"/>
      <c r="F83" s="4"/>
    </row>
    <row r="84" spans="1:9" x14ac:dyDescent="0.3">
      <c r="B84" s="4"/>
      <c r="C84" s="4"/>
      <c r="E84" s="7"/>
      <c r="F84" s="4"/>
      <c r="H84" s="4"/>
      <c r="I84" s="4"/>
    </row>
    <row r="85" spans="1:9" x14ac:dyDescent="0.3">
      <c r="E85" s="7"/>
      <c r="F85" s="4"/>
    </row>
    <row r="86" spans="1:9" s="4" customFormat="1" x14ac:dyDescent="0.3">
      <c r="B86"/>
      <c r="C86"/>
      <c r="E86" s="7"/>
      <c r="H86"/>
      <c r="I86"/>
    </row>
    <row r="87" spans="1:9" x14ac:dyDescent="0.3">
      <c r="D87" s="7"/>
      <c r="E87" s="7"/>
      <c r="F87" s="4"/>
    </row>
    <row r="88" spans="1:9" s="4" customFormat="1" x14ac:dyDescent="0.3">
      <c r="C88"/>
      <c r="D88" s="7"/>
      <c r="E88"/>
      <c r="F88"/>
      <c r="H88"/>
      <c r="I88"/>
    </row>
    <row r="89" spans="1:9" x14ac:dyDescent="0.3">
      <c r="A89"/>
    </row>
    <row r="90" spans="1:9" x14ac:dyDescent="0.3">
      <c r="A90"/>
    </row>
    <row r="91" spans="1:9" x14ac:dyDescent="0.3">
      <c r="A91"/>
    </row>
    <row r="92" spans="1:9" x14ac:dyDescent="0.3">
      <c r="A92"/>
    </row>
    <row r="93" spans="1:9" x14ac:dyDescent="0.3">
      <c r="E93" s="4"/>
      <c r="F93" s="4"/>
    </row>
    <row r="94" spans="1:9" x14ac:dyDescent="0.3">
      <c r="A94"/>
    </row>
    <row r="95" spans="1:9" s="4" customFormat="1" x14ac:dyDescent="0.3">
      <c r="A95"/>
      <c r="B95"/>
      <c r="C95"/>
      <c r="E95"/>
      <c r="F95"/>
      <c r="H95"/>
      <c r="I95"/>
    </row>
    <row r="96" spans="1:9" x14ac:dyDescent="0.3">
      <c r="A96"/>
    </row>
    <row r="97" spans="1:1" x14ac:dyDescent="0.3">
      <c r="A97"/>
    </row>
    <row r="98" spans="1:1" x14ac:dyDescent="0.3">
      <c r="A98"/>
    </row>
    <row r="99" spans="1:1" x14ac:dyDescent="0.3">
      <c r="A99"/>
    </row>
    <row r="100" spans="1:1" x14ac:dyDescent="0.3">
      <c r="A100"/>
    </row>
    <row r="101" spans="1:1" x14ac:dyDescent="0.3">
      <c r="A101"/>
    </row>
    <row r="102" spans="1:1" x14ac:dyDescent="0.3">
      <c r="A102"/>
    </row>
    <row r="103" spans="1:1" x14ac:dyDescent="0.3">
      <c r="A103"/>
    </row>
    <row r="104" spans="1:1" x14ac:dyDescent="0.3">
      <c r="A104"/>
    </row>
    <row r="106" spans="1:1" x14ac:dyDescent="0.3">
      <c r="A106"/>
    </row>
    <row r="107" spans="1:1" x14ac:dyDescent="0.3">
      <c r="A107"/>
    </row>
    <row r="108" spans="1:1" x14ac:dyDescent="0.3">
      <c r="A108"/>
    </row>
    <row r="109" spans="1:1" x14ac:dyDescent="0.3">
      <c r="A109"/>
    </row>
    <row r="110" spans="1:1" x14ac:dyDescent="0.3">
      <c r="A110"/>
    </row>
    <row r="144" spans="4:4" x14ac:dyDescent="0.3">
      <c r="D144" s="4"/>
    </row>
    <row r="145" spans="4:4" x14ac:dyDescent="0.3">
      <c r="D145" s="4"/>
    </row>
    <row r="146" spans="4:4" x14ac:dyDescent="0.3">
      <c r="D146" s="4"/>
    </row>
  </sheetData>
  <mergeCells count="6">
    <mergeCell ref="E2:F2"/>
    <mergeCell ref="E17:F17"/>
    <mergeCell ref="B2:C2"/>
    <mergeCell ref="B16:C16"/>
    <mergeCell ref="B33:C33"/>
    <mergeCell ref="E27:F27"/>
  </mergeCells>
  <dataValidations disablePrompts="1" count="1">
    <dataValidation allowBlank="1" showInputMessage="1" showErrorMessage="1" prompt="Monthly Amount" sqref="H17:H20 H3:H7 H27:H30" xr:uid="{2F655318-077A-47A8-AF0D-C504FC41E9CD}"/>
  </dataValidations>
  <pageMargins left="0.7" right="0.7" top="0.75" bottom="0.75" header="0.3" footer="0.3"/>
  <pageSetup paperSize="9" orientation="portrait" r:id="rId1"/>
  <ignoredErrors>
    <ignoredError sqref="C5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8897-1945-429E-8FC8-5B68168E71C0}">
  <dimension ref="A1:D42"/>
  <sheetViews>
    <sheetView topLeftCell="A18" zoomScaleNormal="100" workbookViewId="0">
      <selection activeCell="D15" sqref="D15"/>
    </sheetView>
  </sheetViews>
  <sheetFormatPr defaultRowHeight="14.4" x14ac:dyDescent="0.3"/>
  <cols>
    <col min="1" max="1" width="14.6640625" customWidth="1"/>
    <col min="2" max="2" width="9.33203125" customWidth="1"/>
    <col min="3" max="3" width="17.6640625" customWidth="1"/>
    <col min="4" max="4" width="10.6640625" bestFit="1" customWidth="1"/>
  </cols>
  <sheetData>
    <row r="1" spans="1:4" ht="15.6" thickTop="1" thickBot="1" x14ac:dyDescent="0.35">
      <c r="A1" s="64" t="s">
        <v>11</v>
      </c>
      <c r="B1" s="65" t="s">
        <v>153</v>
      </c>
      <c r="C1" s="65" t="s">
        <v>12</v>
      </c>
      <c r="D1" s="66" t="s">
        <v>13</v>
      </c>
    </row>
    <row r="2" spans="1:4" ht="15" thickTop="1" x14ac:dyDescent="0.3">
      <c r="A2" s="59" t="s">
        <v>14</v>
      </c>
      <c r="B2" s="24">
        <v>0</v>
      </c>
      <c r="C2" s="60">
        <v>104000</v>
      </c>
      <c r="D2" s="62">
        <v>3260</v>
      </c>
    </row>
    <row r="3" spans="1:4" x14ac:dyDescent="0.3">
      <c r="A3" s="57" t="s">
        <v>14</v>
      </c>
      <c r="B3" s="20">
        <v>0</v>
      </c>
      <c r="C3" s="21">
        <v>156000</v>
      </c>
      <c r="D3" s="63">
        <v>3913</v>
      </c>
    </row>
    <row r="4" spans="1:4" x14ac:dyDescent="0.3">
      <c r="A4" s="57" t="s">
        <v>14</v>
      </c>
      <c r="B4" s="20">
        <v>0</v>
      </c>
      <c r="C4" s="21">
        <v>208000</v>
      </c>
      <c r="D4" s="63">
        <v>4270</v>
      </c>
    </row>
    <row r="5" spans="1:4" x14ac:dyDescent="0.3">
      <c r="A5" s="57" t="s">
        <v>14</v>
      </c>
      <c r="B5" s="20">
        <v>0</v>
      </c>
      <c r="C5" s="21">
        <v>261000</v>
      </c>
      <c r="D5" s="63">
        <v>4765</v>
      </c>
    </row>
    <row r="6" spans="1:4" x14ac:dyDescent="0.3">
      <c r="A6" s="57" t="s">
        <v>14</v>
      </c>
      <c r="B6" s="20">
        <v>0</v>
      </c>
      <c r="C6" s="21">
        <v>300000</v>
      </c>
      <c r="D6" s="63">
        <v>5247</v>
      </c>
    </row>
    <row r="7" spans="1:4" x14ac:dyDescent="0.3">
      <c r="A7" s="57" t="s">
        <v>14</v>
      </c>
      <c r="B7" s="20">
        <v>1</v>
      </c>
      <c r="C7" s="21">
        <v>104000</v>
      </c>
      <c r="D7" s="63">
        <v>3643</v>
      </c>
    </row>
    <row r="8" spans="1:4" x14ac:dyDescent="0.3">
      <c r="A8" s="57" t="s">
        <v>14</v>
      </c>
      <c r="B8" s="20">
        <v>1</v>
      </c>
      <c r="C8" s="21">
        <v>156000</v>
      </c>
      <c r="D8" s="63">
        <v>4309</v>
      </c>
    </row>
    <row r="9" spans="1:4" x14ac:dyDescent="0.3">
      <c r="A9" s="57" t="s">
        <v>14</v>
      </c>
      <c r="B9" s="20">
        <v>1</v>
      </c>
      <c r="C9" s="21">
        <v>208000</v>
      </c>
      <c r="D9" s="63">
        <v>4667</v>
      </c>
    </row>
    <row r="10" spans="1:4" x14ac:dyDescent="0.3">
      <c r="A10" s="57" t="s">
        <v>14</v>
      </c>
      <c r="B10" s="20">
        <v>1</v>
      </c>
      <c r="C10" s="21">
        <v>261000</v>
      </c>
      <c r="D10" s="63">
        <v>5165</v>
      </c>
    </row>
    <row r="11" spans="1:4" x14ac:dyDescent="0.3">
      <c r="A11" s="57" t="s">
        <v>14</v>
      </c>
      <c r="B11" s="20">
        <v>1</v>
      </c>
      <c r="C11" s="21">
        <v>300000</v>
      </c>
      <c r="D11" s="63">
        <v>5617</v>
      </c>
    </row>
    <row r="12" spans="1:4" x14ac:dyDescent="0.3">
      <c r="A12" s="57" t="s">
        <v>14</v>
      </c>
      <c r="B12" s="20">
        <v>2</v>
      </c>
      <c r="C12" s="21">
        <v>104000</v>
      </c>
      <c r="D12" s="63">
        <v>3932</v>
      </c>
    </row>
    <row r="13" spans="1:4" x14ac:dyDescent="0.3">
      <c r="A13" s="57" t="s">
        <v>14</v>
      </c>
      <c r="B13" s="20">
        <v>2</v>
      </c>
      <c r="C13" s="21">
        <v>156000</v>
      </c>
      <c r="D13" s="63">
        <v>4585</v>
      </c>
    </row>
    <row r="14" spans="1:4" x14ac:dyDescent="0.3">
      <c r="A14" s="57" t="s">
        <v>14</v>
      </c>
      <c r="B14" s="20">
        <v>2</v>
      </c>
      <c r="C14" s="21">
        <v>208000</v>
      </c>
      <c r="D14" s="63">
        <v>4941</v>
      </c>
    </row>
    <row r="15" spans="1:4" x14ac:dyDescent="0.3">
      <c r="A15" s="57" t="s">
        <v>14</v>
      </c>
      <c r="B15" s="20">
        <v>2</v>
      </c>
      <c r="C15" s="21">
        <v>261000</v>
      </c>
      <c r="D15" s="63">
        <v>5436</v>
      </c>
    </row>
    <row r="16" spans="1:4" x14ac:dyDescent="0.3">
      <c r="A16" s="57" t="s">
        <v>14</v>
      </c>
      <c r="B16" s="20">
        <v>2</v>
      </c>
      <c r="C16" s="21">
        <v>300000</v>
      </c>
      <c r="D16" s="63">
        <v>5915</v>
      </c>
    </row>
    <row r="17" spans="1:4" x14ac:dyDescent="0.3">
      <c r="A17" s="57" t="s">
        <v>14</v>
      </c>
      <c r="B17" s="20">
        <v>3</v>
      </c>
      <c r="C17" s="21">
        <v>104000</v>
      </c>
      <c r="D17" s="63">
        <v>4253</v>
      </c>
    </row>
    <row r="18" spans="1:4" x14ac:dyDescent="0.3">
      <c r="A18" s="57" t="s">
        <v>14</v>
      </c>
      <c r="B18" s="20">
        <v>3</v>
      </c>
      <c r="C18" s="21">
        <v>156000</v>
      </c>
      <c r="D18" s="63">
        <v>4866</v>
      </c>
    </row>
    <row r="19" spans="1:4" x14ac:dyDescent="0.3">
      <c r="A19" s="57" t="s">
        <v>14</v>
      </c>
      <c r="B19" s="20">
        <v>3</v>
      </c>
      <c r="C19" s="21">
        <v>208000</v>
      </c>
      <c r="D19" s="63">
        <v>5222</v>
      </c>
    </row>
    <row r="20" spans="1:4" x14ac:dyDescent="0.3">
      <c r="A20" s="57" t="s">
        <v>14</v>
      </c>
      <c r="B20" s="20">
        <v>3</v>
      </c>
      <c r="C20" s="21">
        <v>261000</v>
      </c>
      <c r="D20" s="63">
        <v>5717</v>
      </c>
    </row>
    <row r="21" spans="1:4" x14ac:dyDescent="0.3">
      <c r="A21" s="57" t="s">
        <v>14</v>
      </c>
      <c r="B21" s="20">
        <v>3</v>
      </c>
      <c r="C21" s="21">
        <v>300000</v>
      </c>
      <c r="D21" s="63">
        <v>6220</v>
      </c>
    </row>
    <row r="22" spans="1:4" x14ac:dyDescent="0.3">
      <c r="A22" s="57" t="s">
        <v>15</v>
      </c>
      <c r="B22" s="20">
        <v>0</v>
      </c>
      <c r="C22" s="21">
        <v>104000</v>
      </c>
      <c r="D22" s="63">
        <v>2035</v>
      </c>
    </row>
    <row r="23" spans="1:4" x14ac:dyDescent="0.3">
      <c r="A23" s="57" t="s">
        <v>15</v>
      </c>
      <c r="B23" s="20">
        <v>0</v>
      </c>
      <c r="C23" s="21">
        <v>156000</v>
      </c>
      <c r="D23" s="63">
        <v>2414</v>
      </c>
    </row>
    <row r="24" spans="1:4" x14ac:dyDescent="0.3">
      <c r="A24" s="57" t="s">
        <v>15</v>
      </c>
      <c r="B24" s="20">
        <v>0</v>
      </c>
      <c r="C24" s="21">
        <v>208000</v>
      </c>
      <c r="D24" s="63">
        <v>3093</v>
      </c>
    </row>
    <row r="25" spans="1:4" x14ac:dyDescent="0.3">
      <c r="A25" s="57" t="s">
        <v>15</v>
      </c>
      <c r="B25" s="20">
        <v>0</v>
      </c>
      <c r="C25" s="21">
        <v>261000</v>
      </c>
      <c r="D25" s="63">
        <v>3589</v>
      </c>
    </row>
    <row r="26" spans="1:4" x14ac:dyDescent="0.3">
      <c r="A26" s="57" t="s">
        <v>15</v>
      </c>
      <c r="B26" s="20">
        <v>0</v>
      </c>
      <c r="C26" s="21">
        <v>300000</v>
      </c>
      <c r="D26" s="63">
        <v>3841</v>
      </c>
    </row>
    <row r="27" spans="1:4" x14ac:dyDescent="0.3">
      <c r="A27" s="57" t="s">
        <v>15</v>
      </c>
      <c r="B27" s="20">
        <v>1</v>
      </c>
      <c r="C27" s="21">
        <v>104000</v>
      </c>
      <c r="D27" s="63">
        <v>2458</v>
      </c>
    </row>
    <row r="28" spans="1:4" x14ac:dyDescent="0.3">
      <c r="A28" s="57" t="s">
        <v>15</v>
      </c>
      <c r="B28" s="20">
        <v>1</v>
      </c>
      <c r="C28" s="21">
        <v>156000</v>
      </c>
      <c r="D28" s="63">
        <v>2835</v>
      </c>
    </row>
    <row r="29" spans="1:4" x14ac:dyDescent="0.3">
      <c r="A29" s="57" t="s">
        <v>15</v>
      </c>
      <c r="B29" s="20">
        <v>1</v>
      </c>
      <c r="C29" s="21">
        <v>208000</v>
      </c>
      <c r="D29" s="63">
        <v>3509</v>
      </c>
    </row>
    <row r="30" spans="1:4" x14ac:dyDescent="0.3">
      <c r="A30" s="57" t="s">
        <v>15</v>
      </c>
      <c r="B30" s="20">
        <v>1</v>
      </c>
      <c r="C30" s="21">
        <v>261000</v>
      </c>
      <c r="D30" s="63">
        <v>4002</v>
      </c>
    </row>
    <row r="31" spans="1:4" x14ac:dyDescent="0.3">
      <c r="A31" s="57" t="s">
        <v>15</v>
      </c>
      <c r="B31" s="20">
        <v>1</v>
      </c>
      <c r="C31" s="21">
        <v>300000</v>
      </c>
      <c r="D31" s="63">
        <v>4267</v>
      </c>
    </row>
    <row r="32" spans="1:4" x14ac:dyDescent="0.3">
      <c r="A32" s="57" t="s">
        <v>15</v>
      </c>
      <c r="B32" s="20">
        <v>2</v>
      </c>
      <c r="C32" s="21">
        <v>104000</v>
      </c>
      <c r="D32" s="63">
        <v>2939</v>
      </c>
    </row>
    <row r="33" spans="1:4" x14ac:dyDescent="0.3">
      <c r="A33" s="57" t="s">
        <v>15</v>
      </c>
      <c r="B33" s="20">
        <v>2</v>
      </c>
      <c r="C33" s="21">
        <v>156000</v>
      </c>
      <c r="D33" s="63">
        <v>3315</v>
      </c>
    </row>
    <row r="34" spans="1:4" x14ac:dyDescent="0.3">
      <c r="A34" s="57" t="s">
        <v>15</v>
      </c>
      <c r="B34" s="20">
        <v>2</v>
      </c>
      <c r="C34" s="21">
        <v>208000</v>
      </c>
      <c r="D34" s="63">
        <v>3988</v>
      </c>
    </row>
    <row r="35" spans="1:4" x14ac:dyDescent="0.3">
      <c r="A35" s="57" t="s">
        <v>15</v>
      </c>
      <c r="B35" s="20">
        <v>2</v>
      </c>
      <c r="C35" s="21">
        <v>261000</v>
      </c>
      <c r="D35" s="63">
        <v>4481</v>
      </c>
    </row>
    <row r="36" spans="1:4" x14ac:dyDescent="0.3">
      <c r="A36" s="57" t="s">
        <v>15</v>
      </c>
      <c r="B36" s="20">
        <v>2</v>
      </c>
      <c r="C36" s="21">
        <v>300000</v>
      </c>
      <c r="D36" s="63">
        <v>4777</v>
      </c>
    </row>
    <row r="37" spans="1:4" x14ac:dyDescent="0.3">
      <c r="A37" s="57" t="s">
        <v>15</v>
      </c>
      <c r="B37" s="20">
        <v>3</v>
      </c>
      <c r="C37" s="21">
        <v>104000</v>
      </c>
      <c r="D37" s="63">
        <v>3420</v>
      </c>
    </row>
    <row r="38" spans="1:4" x14ac:dyDescent="0.3">
      <c r="A38" s="57" t="s">
        <v>15</v>
      </c>
      <c r="B38" s="20">
        <v>3</v>
      </c>
      <c r="C38" s="21">
        <v>156000</v>
      </c>
      <c r="D38" s="63">
        <v>3795</v>
      </c>
    </row>
    <row r="39" spans="1:4" x14ac:dyDescent="0.3">
      <c r="A39" s="57" t="s">
        <v>15</v>
      </c>
      <c r="B39" s="20">
        <v>3</v>
      </c>
      <c r="C39" s="21">
        <v>208000</v>
      </c>
      <c r="D39" s="63">
        <v>4468</v>
      </c>
    </row>
    <row r="40" spans="1:4" x14ac:dyDescent="0.3">
      <c r="A40" s="57" t="s">
        <v>15</v>
      </c>
      <c r="B40" s="20">
        <v>3</v>
      </c>
      <c r="C40" s="21">
        <v>261000</v>
      </c>
      <c r="D40" s="63">
        <v>4959</v>
      </c>
    </row>
    <row r="41" spans="1:4" ht="15" thickBot="1" x14ac:dyDescent="0.35">
      <c r="A41" s="58" t="s">
        <v>15</v>
      </c>
      <c r="B41" s="22">
        <v>3</v>
      </c>
      <c r="C41" s="23">
        <v>300000</v>
      </c>
      <c r="D41" s="61">
        <v>5286</v>
      </c>
    </row>
    <row r="42" spans="1:4" ht="15" thickTop="1" x14ac:dyDescent="0.3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3"/>
  <sheetViews>
    <sheetView workbookViewId="0">
      <selection activeCell="B12" sqref="B12"/>
    </sheetView>
  </sheetViews>
  <sheetFormatPr defaultRowHeight="15" customHeight="1" x14ac:dyDescent="0.3"/>
  <cols>
    <col min="1" max="1" width="42" customWidth="1"/>
    <col min="2" max="2" width="16" customWidth="1"/>
    <col min="3" max="3" width="14" customWidth="1"/>
    <col min="4" max="4" width="13" customWidth="1"/>
    <col min="5" max="5" width="34" customWidth="1"/>
    <col min="6" max="6" width="16" customWidth="1"/>
    <col min="7" max="7" width="22" customWidth="1"/>
    <col min="8" max="8" width="14" customWidth="1"/>
  </cols>
  <sheetData>
    <row r="1" spans="1:8" ht="15" customHeight="1" thickBot="1" x14ac:dyDescent="0.35">
      <c r="A1" s="40" t="s">
        <v>4</v>
      </c>
      <c r="B1" s="5"/>
      <c r="C1" s="5"/>
      <c r="D1" s="5"/>
      <c r="E1" s="5"/>
    </row>
    <row r="2" spans="1:8" ht="15" customHeight="1" thickTop="1" thickBot="1" x14ac:dyDescent="0.35">
      <c r="A2" s="37" t="s">
        <v>5</v>
      </c>
      <c r="B2" s="37" t="s">
        <v>6</v>
      </c>
      <c r="C2" s="37" t="s">
        <v>7</v>
      </c>
      <c r="D2" s="19" t="s">
        <v>8</v>
      </c>
      <c r="E2" s="38" t="s">
        <v>9</v>
      </c>
      <c r="F2" s="2"/>
      <c r="G2" s="5"/>
      <c r="H2" s="5"/>
    </row>
    <row r="3" spans="1:8" ht="15" customHeight="1" thickTop="1" thickBot="1" x14ac:dyDescent="0.35">
      <c r="A3" s="27">
        <v>0</v>
      </c>
      <c r="B3" s="27">
        <v>18200</v>
      </c>
      <c r="C3" s="27">
        <v>0</v>
      </c>
      <c r="D3" s="39">
        <v>0</v>
      </c>
      <c r="E3" s="26">
        <v>0</v>
      </c>
      <c r="G3" s="41" t="s">
        <v>10</v>
      </c>
      <c r="H3" s="42">
        <v>0.02</v>
      </c>
    </row>
    <row r="4" spans="1:8" ht="15" customHeight="1" thickTop="1" x14ac:dyDescent="0.3">
      <c r="A4" s="31">
        <v>18200</v>
      </c>
      <c r="B4" s="34">
        <v>45000</v>
      </c>
      <c r="C4" s="30">
        <v>0</v>
      </c>
      <c r="D4" s="30">
        <v>0.16</v>
      </c>
      <c r="E4" s="32">
        <v>18200</v>
      </c>
      <c r="G4" s="1"/>
      <c r="H4" s="1"/>
    </row>
    <row r="5" spans="1:8" ht="15" customHeight="1" x14ac:dyDescent="0.3">
      <c r="A5" s="31">
        <v>45000</v>
      </c>
      <c r="B5" s="30">
        <v>135000</v>
      </c>
      <c r="C5" s="30">
        <v>5092</v>
      </c>
      <c r="D5" s="30">
        <v>0.3</v>
      </c>
      <c r="E5" s="33">
        <v>45000</v>
      </c>
    </row>
    <row r="6" spans="1:8" ht="15" customHeight="1" x14ac:dyDescent="0.3">
      <c r="A6" s="36">
        <v>135000</v>
      </c>
      <c r="B6" s="30">
        <v>190000</v>
      </c>
      <c r="C6" s="31">
        <v>27467</v>
      </c>
      <c r="D6" s="30">
        <v>0.37</v>
      </c>
      <c r="E6" s="33">
        <v>120000</v>
      </c>
    </row>
    <row r="7" spans="1:8" ht="15" customHeight="1" thickBot="1" x14ac:dyDescent="0.35">
      <c r="A7" s="35">
        <v>190000</v>
      </c>
      <c r="B7" s="29">
        <v>1000000</v>
      </c>
      <c r="C7" s="35">
        <v>51667</v>
      </c>
      <c r="D7" s="28">
        <v>0.45</v>
      </c>
      <c r="E7" s="25">
        <v>180000</v>
      </c>
    </row>
    <row r="8" spans="1:8" ht="15" customHeight="1" thickTop="1" thickBot="1" x14ac:dyDescent="0.35">
      <c r="A8" s="1"/>
      <c r="B8" s="1"/>
      <c r="C8" s="1"/>
      <c r="E8" s="1"/>
    </row>
    <row r="9" spans="1:8" ht="15" customHeight="1" thickTop="1" thickBot="1" x14ac:dyDescent="0.35">
      <c r="A9" s="224" t="s">
        <v>154</v>
      </c>
      <c r="B9" s="225"/>
      <c r="C9" s="67"/>
    </row>
    <row r="10" spans="1:8" ht="15" customHeight="1" thickTop="1" x14ac:dyDescent="0.3">
      <c r="A10" s="68" t="s">
        <v>155</v>
      </c>
      <c r="B10" s="69">
        <v>6.5000000000000002E-2</v>
      </c>
    </row>
    <row r="11" spans="1:8" ht="15" customHeight="1" x14ac:dyDescent="0.3">
      <c r="A11" s="70" t="s">
        <v>156</v>
      </c>
      <c r="B11" s="71">
        <v>7.0000000000000007E-2</v>
      </c>
    </row>
    <row r="12" spans="1:8" ht="15" customHeight="1" thickBot="1" x14ac:dyDescent="0.35">
      <c r="A12" s="73" t="s">
        <v>157</v>
      </c>
      <c r="B12" s="72">
        <v>400000</v>
      </c>
    </row>
    <row r="13" spans="1:8" ht="15" customHeight="1" thickTop="1" x14ac:dyDescent="0.3"/>
  </sheetData>
  <mergeCells count="1">
    <mergeCell ref="A9:B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A&amp;L</vt:lpstr>
      <vt:lpstr>Servicing</vt:lpstr>
      <vt:lpstr>HEM</vt:lpstr>
      <vt:lpstr>Tax</vt:lpstr>
      <vt:lpstr>'A&amp;L'!Print_Area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Harold Upton</dc:creator>
  <cp:lastModifiedBy>Ange *</cp:lastModifiedBy>
  <cp:lastPrinted>2026-01-22T16:31:57Z</cp:lastPrinted>
  <dcterms:created xsi:type="dcterms:W3CDTF">2021-01-18T09:50:24Z</dcterms:created>
  <dcterms:modified xsi:type="dcterms:W3CDTF">2026-06-04T00:05:30Z</dcterms:modified>
</cp:coreProperties>
</file>